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0\"/>
    </mc:Choice>
  </mc:AlternateContent>
  <xr:revisionPtr revIDLastSave="0" documentId="13_ncr:1_{BAC23315-DC1D-4A09-A244-69876F56C629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b)'!$A$114</definedName>
    <definedName name="GASTO_E_FIN">'Formato 6 b)'!$A$128</definedName>
    <definedName name="GASTO_E_FIN_01">'Formato 6 b)'!$B$128</definedName>
    <definedName name="GASTO_E_FIN_02">'Formato 6 b)'!$C$128</definedName>
    <definedName name="GASTO_E_FIN_03">'Formato 6 b)'!$D$128</definedName>
    <definedName name="GASTO_E_FIN_04">'Formato 6 b)'!$E$128</definedName>
    <definedName name="GASTO_E_FIN_05">'Formato 6 b)'!$F$128</definedName>
    <definedName name="GASTO_E_FIN_06">'Formato 6 b)'!$G$128</definedName>
    <definedName name="GASTO_E_T1">'Formato 6 b)'!$B$114</definedName>
    <definedName name="GASTO_E_T2">'Formato 6 b)'!$C$114</definedName>
    <definedName name="GASTO_E_T3">'Formato 6 b)'!$D$114</definedName>
    <definedName name="GASTO_E_T4">'Formato 6 b)'!$E$114</definedName>
    <definedName name="GASTO_E_T5">'Formato 6 b)'!$F$114</definedName>
    <definedName name="GASTO_E_T6">'Formato 6 b)'!$G$114</definedName>
    <definedName name="GASTO_NE">'Formato 6 b)'!$A$9</definedName>
    <definedName name="GASTO_NE_FIN">'Formato 6 b)'!$A$65</definedName>
    <definedName name="GASTO_NE_FIN_01">'Formato 6 b)'!$B$65</definedName>
    <definedName name="GASTO_NE_FIN_02">'Formato 6 b)'!$C$65</definedName>
    <definedName name="GASTO_NE_FIN_03">'Formato 6 b)'!$D$65</definedName>
    <definedName name="GASTO_NE_FIN_04">'Formato 6 b)'!$E$65</definedName>
    <definedName name="GASTO_NE_FIN_05">'Formato 6 b)'!$F$65</definedName>
    <definedName name="GASTO_NE_FIN_06">'Formato 6 b)'!$G$65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b)'!$B$129</definedName>
    <definedName name="TOTAL_E_T2">'Formato 6 b)'!$C$129</definedName>
    <definedName name="TOTAL_E_T3">'Formato 6 b)'!$D$129</definedName>
    <definedName name="TOTAL_E_T4">'Formato 6 b)'!$E$129</definedName>
    <definedName name="TOTAL_E_T5">'Formato 6 b)'!$F$129</definedName>
    <definedName name="TOTAL_E_T6">'Formato 6 b)'!$G$129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7" l="1"/>
  <c r="G64" i="7"/>
  <c r="G63" i="7"/>
  <c r="G62" i="7" l="1"/>
  <c r="G61" i="7"/>
  <c r="G60" i="7"/>
  <c r="G59" i="7"/>
  <c r="G58" i="7"/>
  <c r="G57" i="7"/>
  <c r="G56" i="7"/>
  <c r="G55" i="7" l="1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F33" i="5" l="1"/>
  <c r="E33" i="5"/>
  <c r="B16" i="5"/>
  <c r="D17" i="5"/>
  <c r="D63" i="5" l="1"/>
  <c r="D62" i="5"/>
  <c r="D61" i="5"/>
  <c r="D60" i="5"/>
  <c r="D59" i="5" s="1"/>
  <c r="C59" i="5"/>
  <c r="B59" i="5"/>
  <c r="G58" i="5"/>
  <c r="D58" i="5"/>
  <c r="G57" i="5"/>
  <c r="D57" i="5"/>
  <c r="G56" i="5"/>
  <c r="D56" i="5"/>
  <c r="D54" i="5" s="1"/>
  <c r="G55" i="5"/>
  <c r="D55" i="5"/>
  <c r="F54" i="5"/>
  <c r="E54" i="5"/>
  <c r="C54" i="5"/>
  <c r="B54" i="5"/>
  <c r="G54" i="5" s="1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G45" i="5"/>
  <c r="F45" i="5"/>
  <c r="E45" i="5"/>
  <c r="C45" i="5"/>
  <c r="B45" i="5"/>
  <c r="G39" i="5"/>
  <c r="D39" i="5"/>
  <c r="C38" i="5"/>
  <c r="C37" i="5" s="1"/>
  <c r="B38" i="5"/>
  <c r="D38" i="5" s="1"/>
  <c r="D37" i="5" s="1"/>
  <c r="F37" i="5"/>
  <c r="E37" i="5"/>
  <c r="G36" i="5"/>
  <c r="D36" i="5"/>
  <c r="F35" i="5"/>
  <c r="G35" i="5" s="1"/>
  <c r="E35" i="5"/>
  <c r="D35" i="5"/>
  <c r="C35" i="5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F16" i="5" s="1"/>
  <c r="E28" i="5"/>
  <c r="E16" i="5" s="1"/>
  <c r="C28" i="5"/>
  <c r="C16" i="5" s="1"/>
  <c r="B28" i="5"/>
  <c r="D27" i="5"/>
  <c r="D16" i="5" s="1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27" i="5" l="1"/>
  <c r="G16" i="5" s="1"/>
  <c r="G28" i="5"/>
  <c r="D28" i="5"/>
  <c r="E63" i="5"/>
  <c r="E62" i="5" s="1"/>
  <c r="E61" i="5" s="1"/>
  <c r="E60" i="5" s="1"/>
  <c r="E59" i="5" s="1"/>
  <c r="G37" i="5"/>
  <c r="G38" i="5"/>
  <c r="B37" i="5"/>
  <c r="F63" i="5" l="1"/>
  <c r="F62" i="5" l="1"/>
  <c r="G63" i="5"/>
  <c r="F61" i="5" l="1"/>
  <c r="G62" i="5"/>
  <c r="F60" i="5" l="1"/>
  <c r="G61" i="5"/>
  <c r="F59" i="5" l="1"/>
  <c r="G59" i="5" s="1"/>
  <c r="G60" i="5"/>
  <c r="F18" i="2" l="1"/>
  <c r="F16" i="2"/>
  <c r="F15" i="2"/>
  <c r="F14" i="2"/>
  <c r="B8" i="10" l="1"/>
  <c r="C6" i="23"/>
  <c r="C7" i="23" s="1"/>
  <c r="B9" i="1"/>
  <c r="H25" i="23"/>
  <c r="F5" i="12" s="1"/>
  <c r="G25" i="23"/>
  <c r="E5" i="12" s="1"/>
  <c r="F25" i="23"/>
  <c r="D5" i="12" s="1"/>
  <c r="E25" i="23"/>
  <c r="C5" i="12" s="1"/>
  <c r="D25" i="23"/>
  <c r="G30" i="9"/>
  <c r="G31" i="9"/>
  <c r="G29" i="9"/>
  <c r="G26" i="9"/>
  <c r="U18" i="27" s="1"/>
  <c r="G27" i="9"/>
  <c r="G25" i="9"/>
  <c r="G23" i="9"/>
  <c r="G19" i="9"/>
  <c r="G18" i="9"/>
  <c r="G17" i="9"/>
  <c r="U10" i="27" s="1"/>
  <c r="G14" i="9"/>
  <c r="G15" i="9"/>
  <c r="G13" i="9"/>
  <c r="G11" i="9"/>
  <c r="U4" i="27" s="1"/>
  <c r="U65" i="26"/>
  <c r="U64" i="26"/>
  <c r="U53" i="26"/>
  <c r="U45" i="26"/>
  <c r="U41" i="26"/>
  <c r="U44" i="26"/>
  <c r="G39" i="8"/>
  <c r="G40" i="8"/>
  <c r="G41" i="8"/>
  <c r="G38" i="8"/>
  <c r="U7" i="26"/>
  <c r="U10" i="26"/>
  <c r="U12" i="26"/>
  <c r="U19" i="26"/>
  <c r="U20" i="26"/>
  <c r="G29" i="8"/>
  <c r="U22" i="26" s="1"/>
  <c r="G30" i="8"/>
  <c r="G31" i="8"/>
  <c r="G32" i="8"/>
  <c r="G33" i="8"/>
  <c r="G34" i="8"/>
  <c r="G35" i="8"/>
  <c r="G36" i="8"/>
  <c r="G119" i="7"/>
  <c r="G120" i="7"/>
  <c r="G121" i="7"/>
  <c r="G114" i="7" s="1"/>
  <c r="U3" i="25" s="1"/>
  <c r="G122" i="7"/>
  <c r="G123" i="7"/>
  <c r="G124" i="7"/>
  <c r="G127" i="7"/>
  <c r="G115" i="7"/>
  <c r="G11" i="7"/>
  <c r="G12" i="7"/>
  <c r="G13" i="7"/>
  <c r="G15" i="7"/>
  <c r="G10" i="7"/>
  <c r="P68" i="24"/>
  <c r="G153" i="6"/>
  <c r="U145" i="24" s="1"/>
  <c r="G154" i="6"/>
  <c r="G155" i="6"/>
  <c r="G156" i="6"/>
  <c r="G157" i="6"/>
  <c r="U134" i="24"/>
  <c r="U118" i="24"/>
  <c r="U121" i="24"/>
  <c r="U105" i="24"/>
  <c r="U95" i="24"/>
  <c r="U85" i="24"/>
  <c r="U80" i="24"/>
  <c r="U83" i="24"/>
  <c r="U69" i="24"/>
  <c r="U64" i="24"/>
  <c r="U51" i="24"/>
  <c r="U33" i="24"/>
  <c r="U36" i="24"/>
  <c r="U26" i="24"/>
  <c r="U29" i="24"/>
  <c r="U4" i="24"/>
  <c r="B7" i="13"/>
  <c r="U10" i="20"/>
  <c r="U15" i="20"/>
  <c r="U18" i="20"/>
  <c r="U22" i="20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/>
  <c r="E18" i="13"/>
  <c r="E29" i="13" s="1"/>
  <c r="S22" i="31" s="1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 s="1"/>
  <c r="Q22" i="31" s="1"/>
  <c r="D7" i="13"/>
  <c r="D29" i="13" s="1"/>
  <c r="R22" i="31" s="1"/>
  <c r="E7" i="13"/>
  <c r="F7" i="13"/>
  <c r="T2" i="31" s="1"/>
  <c r="G7" i="13"/>
  <c r="G29" i="13" s="1"/>
  <c r="U22" i="31" s="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B31" i="12" s="1"/>
  <c r="P23" i="30" s="1"/>
  <c r="C28" i="12"/>
  <c r="Q21" i="30"/>
  <c r="D28" i="12"/>
  <c r="R21" i="30" s="1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C7" i="12"/>
  <c r="Q2" i="30" s="1"/>
  <c r="D7" i="12"/>
  <c r="R2" i="30" s="1"/>
  <c r="E7" i="12"/>
  <c r="S2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 s="1"/>
  <c r="F36" i="12"/>
  <c r="T27" i="30"/>
  <c r="G36" i="12"/>
  <c r="U27" i="30" s="1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C30" i="11" s="1"/>
  <c r="Q22" i="29" s="1"/>
  <c r="Q12" i="29"/>
  <c r="D19" i="11"/>
  <c r="D30" i="11" s="1"/>
  <c r="R22" i="29" s="1"/>
  <c r="E19" i="11"/>
  <c r="S12" i="29" s="1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E8" i="11"/>
  <c r="S2" i="29" s="1"/>
  <c r="E30" i="11"/>
  <c r="S22" i="29" s="1"/>
  <c r="F8" i="11"/>
  <c r="F30" i="11" s="1"/>
  <c r="T22" i="29" s="1"/>
  <c r="G8" i="11"/>
  <c r="G30" i="11" s="1"/>
  <c r="U22" i="29" s="1"/>
  <c r="Q2" i="29"/>
  <c r="R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Q21" i="28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F32" i="10"/>
  <c r="T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Q9" i="27" s="1"/>
  <c r="D12" i="9"/>
  <c r="D9" i="9" s="1"/>
  <c r="R2" i="27" s="1"/>
  <c r="D16" i="9"/>
  <c r="R9" i="27" s="1"/>
  <c r="E12" i="9"/>
  <c r="E16" i="9"/>
  <c r="E9" i="9"/>
  <c r="S2" i="27" s="1"/>
  <c r="F12" i="9"/>
  <c r="T5" i="27" s="1"/>
  <c r="F16" i="9"/>
  <c r="F9" i="9"/>
  <c r="T2" i="27" s="1"/>
  <c r="G12" i="9"/>
  <c r="G16" i="9"/>
  <c r="U9" i="27" s="1"/>
  <c r="Q3" i="27"/>
  <c r="R3" i="27"/>
  <c r="S3" i="27"/>
  <c r="T3" i="27"/>
  <c r="U3" i="27"/>
  <c r="Q4" i="27"/>
  <c r="R4" i="27"/>
  <c r="S4" i="27"/>
  <c r="T4" i="27"/>
  <c r="S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S9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C28" i="9"/>
  <c r="Q20" i="27" s="1"/>
  <c r="D24" i="9"/>
  <c r="D21" i="9" s="1"/>
  <c r="D28" i="9"/>
  <c r="R20" i="27" s="1"/>
  <c r="E24" i="9"/>
  <c r="E21" i="9" s="1"/>
  <c r="E28" i="9"/>
  <c r="F24" i="9"/>
  <c r="F28" i="9"/>
  <c r="G28" i="9"/>
  <c r="U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B9" i="9" s="1"/>
  <c r="P2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Q3" i="26"/>
  <c r="Q12" i="26"/>
  <c r="Q20" i="26"/>
  <c r="C37" i="8"/>
  <c r="D37" i="8"/>
  <c r="R2" i="26"/>
  <c r="S2" i="26"/>
  <c r="S20" i="26"/>
  <c r="E37" i="8"/>
  <c r="F37" i="8"/>
  <c r="T2" i="26"/>
  <c r="R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R12" i="26"/>
  <c r="S12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R45" i="26"/>
  <c r="T36" i="26"/>
  <c r="T45" i="26"/>
  <c r="Q36" i="26"/>
  <c r="R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P36" i="26"/>
  <c r="B37" i="8"/>
  <c r="P2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14" i="7"/>
  <c r="T3" i="25" s="1"/>
  <c r="E9" i="7"/>
  <c r="S2" i="25" s="1"/>
  <c r="E114" i="7"/>
  <c r="S3" i="25" s="1"/>
  <c r="D9" i="7"/>
  <c r="D114" i="7"/>
  <c r="R3" i="25" s="1"/>
  <c r="C9" i="7"/>
  <c r="Q2" i="25" s="1"/>
  <c r="C114" i="7"/>
  <c r="Q3" i="25" s="1"/>
  <c r="B9" i="7"/>
  <c r="P2" i="25" s="1"/>
  <c r="B114" i="7"/>
  <c r="P3" i="25" s="1"/>
  <c r="A3" i="25"/>
  <c r="A4" i="25"/>
  <c r="A2" i="25"/>
  <c r="A87" i="24"/>
  <c r="Q76" i="24"/>
  <c r="R76" i="24"/>
  <c r="R85" i="24"/>
  <c r="S105" i="24"/>
  <c r="T77" i="24"/>
  <c r="T105" i="24"/>
  <c r="T115" i="24"/>
  <c r="T125" i="24"/>
  <c r="T142" i="24"/>
  <c r="U115" i="24"/>
  <c r="U125" i="24"/>
  <c r="U142" i="24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1" i="24"/>
  <c r="Q41" i="24"/>
  <c r="R51" i="24"/>
  <c r="S31" i="24"/>
  <c r="S64" i="24"/>
  <c r="T41" i="24"/>
  <c r="T68" i="24"/>
  <c r="U68" i="24"/>
  <c r="P85" i="24"/>
  <c r="P95" i="24"/>
  <c r="P105" i="24"/>
  <c r="P115" i="24"/>
  <c r="P138" i="24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6" i="20"/>
  <c r="U17" i="20"/>
  <c r="U19" i="20"/>
  <c r="U20" i="20"/>
  <c r="U21" i="20"/>
  <c r="U23" i="20"/>
  <c r="U24" i="20"/>
  <c r="U25" i="20"/>
  <c r="U26" i="20"/>
  <c r="U28" i="20"/>
  <c r="U31" i="20"/>
  <c r="U32" i="20"/>
  <c r="U33" i="20"/>
  <c r="U38" i="20"/>
  <c r="U40" i="20"/>
  <c r="U41" i="20"/>
  <c r="U42" i="20"/>
  <c r="U44" i="20"/>
  <c r="U43" i="20"/>
  <c r="U45" i="20"/>
  <c r="U47" i="20"/>
  <c r="U48" i="20"/>
  <c r="U49" i="20"/>
  <c r="U50" i="20"/>
  <c r="U52" i="20"/>
  <c r="U53" i="20"/>
  <c r="U51" i="20"/>
  <c r="U54" i="20"/>
  <c r="U55" i="20"/>
  <c r="G68" i="5"/>
  <c r="G67" i="5" s="1"/>
  <c r="U57" i="20" s="1"/>
  <c r="G73" i="5"/>
  <c r="G75" i="5" s="1"/>
  <c r="U62" i="20" s="1"/>
  <c r="U60" i="20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E75" i="5"/>
  <c r="S62" i="20" s="1"/>
  <c r="F75" i="5"/>
  <c r="T62" i="20" s="1"/>
  <c r="P61" i="20"/>
  <c r="B75" i="5"/>
  <c r="P62" i="20" s="1"/>
  <c r="P60" i="20"/>
  <c r="P58" i="20"/>
  <c r="B67" i="5"/>
  <c r="P57" i="20" s="1"/>
  <c r="B65" i="5"/>
  <c r="P56" i="20" s="1"/>
  <c r="P46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P10" i="20"/>
  <c r="P22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E6" i="1" s="1"/>
  <c r="F18" i="23"/>
  <c r="K6" i="3" s="1"/>
  <c r="E18" i="23"/>
  <c r="J6" i="3" s="1"/>
  <c r="D18" i="23"/>
  <c r="I6" i="3" s="1"/>
  <c r="B5" i="13"/>
  <c r="B5" i="12"/>
  <c r="I25" i="23"/>
  <c r="D23" i="23"/>
  <c r="B6" i="11" s="1"/>
  <c r="I23" i="23"/>
  <c r="G6" i="11" s="1"/>
  <c r="H23" i="23"/>
  <c r="F6" i="10" s="1"/>
  <c r="G23" i="23"/>
  <c r="E6" i="11" s="1"/>
  <c r="F23" i="23"/>
  <c r="D6" i="10" s="1"/>
  <c r="D6" i="11"/>
  <c r="E23" i="23"/>
  <c r="C6" i="11" s="1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K15" i="3"/>
  <c r="K14" i="3" s="1"/>
  <c r="Y4" i="17" s="1"/>
  <c r="K16" i="3"/>
  <c r="K17" i="3"/>
  <c r="K18" i="3"/>
  <c r="J14" i="3"/>
  <c r="X4" i="17" s="1"/>
  <c r="I14" i="3"/>
  <c r="I20" i="3" s="1"/>
  <c r="W5" i="17" s="1"/>
  <c r="I8" i="3"/>
  <c r="H14" i="3"/>
  <c r="V4" i="17" s="1"/>
  <c r="G14" i="3"/>
  <c r="U4" i="17" s="1"/>
  <c r="E14" i="3"/>
  <c r="S4" i="17" s="1"/>
  <c r="K9" i="3"/>
  <c r="K10" i="3"/>
  <c r="K8" i="3" s="1"/>
  <c r="K11" i="3"/>
  <c r="K12" i="3"/>
  <c r="J8" i="3"/>
  <c r="H8" i="3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P14" i="16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B49" i="4"/>
  <c r="P27" i="18" s="1"/>
  <c r="B48" i="4"/>
  <c r="B37" i="4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6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D64" i="4"/>
  <c r="R33" i="18" s="1"/>
  <c r="C63" i="4"/>
  <c r="Q32" i="18" s="1"/>
  <c r="D63" i="4"/>
  <c r="C48" i="4"/>
  <c r="Q26" i="18" s="1"/>
  <c r="C55" i="4"/>
  <c r="Q31" i="18" s="1"/>
  <c r="D55" i="4"/>
  <c r="C53" i="4"/>
  <c r="Q30" i="18" s="1"/>
  <c r="D53" i="4"/>
  <c r="R30" i="18" s="1"/>
  <c r="D48" i="4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C13" i="4"/>
  <c r="Q6" i="18" s="1"/>
  <c r="D13" i="4"/>
  <c r="R6" i="18" s="1"/>
  <c r="W3" i="17"/>
  <c r="X3" i="17"/>
  <c r="S15" i="16"/>
  <c r="Q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E9" i="2"/>
  <c r="F9" i="2"/>
  <c r="G9" i="2"/>
  <c r="U4" i="16" s="1"/>
  <c r="H9" i="2"/>
  <c r="V4" i="16" s="1"/>
  <c r="B9" i="2"/>
  <c r="P4" i="16" s="1"/>
  <c r="P4" i="15"/>
  <c r="R31" i="18"/>
  <c r="R26" i="18"/>
  <c r="R37" i="18"/>
  <c r="Q37" i="18"/>
  <c r="Q67" i="15"/>
  <c r="V3" i="17"/>
  <c r="C44" i="4" l="1"/>
  <c r="C11" i="4" s="1"/>
  <c r="B44" i="4"/>
  <c r="D44" i="4"/>
  <c r="C72" i="4"/>
  <c r="D57" i="4"/>
  <c r="D59" i="4" s="1"/>
  <c r="D72" i="4"/>
  <c r="R38" i="18" s="1"/>
  <c r="C57" i="4"/>
  <c r="C59" i="4" s="1"/>
  <c r="B57" i="4"/>
  <c r="B59" i="4" s="1"/>
  <c r="B72" i="4"/>
  <c r="P38" i="18" s="1"/>
  <c r="H20" i="3"/>
  <c r="V5" i="17" s="1"/>
  <c r="F21" i="9"/>
  <c r="T13" i="27" s="1"/>
  <c r="G9" i="7"/>
  <c r="G129" i="7" s="1"/>
  <c r="U4" i="25" s="1"/>
  <c r="D129" i="7"/>
  <c r="R4" i="25" s="1"/>
  <c r="F129" i="7"/>
  <c r="T4" i="25" s="1"/>
  <c r="C129" i="7"/>
  <c r="Q4" i="25" s="1"/>
  <c r="S16" i="27"/>
  <c r="G24" i="9"/>
  <c r="U16" i="27" s="1"/>
  <c r="R16" i="27"/>
  <c r="Q16" i="27"/>
  <c r="Q5" i="27"/>
  <c r="G21" i="9"/>
  <c r="U13" i="27" s="1"/>
  <c r="G9" i="9"/>
  <c r="U2" i="27" s="1"/>
  <c r="P5" i="27"/>
  <c r="G37" i="8"/>
  <c r="U30" i="26" s="1"/>
  <c r="P76" i="24"/>
  <c r="S76" i="24"/>
  <c r="U129" i="24"/>
  <c r="P77" i="24"/>
  <c r="U41" i="24"/>
  <c r="U11" i="24"/>
  <c r="D159" i="6"/>
  <c r="R150" i="24" s="1"/>
  <c r="U55" i="24"/>
  <c r="D70" i="5"/>
  <c r="E70" i="5"/>
  <c r="F70" i="5"/>
  <c r="T14" i="16"/>
  <c r="F8" i="2"/>
  <c r="E8" i="2"/>
  <c r="E20" i="2" s="1"/>
  <c r="S13" i="16" s="1"/>
  <c r="D8" i="2"/>
  <c r="D20" i="2" s="1"/>
  <c r="R13" i="16" s="1"/>
  <c r="G8" i="2"/>
  <c r="U3" i="16" s="1"/>
  <c r="T4" i="16"/>
  <c r="S4" i="16"/>
  <c r="T2" i="25"/>
  <c r="G20" i="3"/>
  <c r="U5" i="17" s="1"/>
  <c r="F47" i="1"/>
  <c r="F59" i="1" s="1"/>
  <c r="Q104" i="15" s="1"/>
  <c r="B47" i="1"/>
  <c r="B62" i="1" s="1"/>
  <c r="P54" i="15" s="1"/>
  <c r="F79" i="1"/>
  <c r="Q119" i="15" s="1"/>
  <c r="E47" i="1"/>
  <c r="E59" i="1" s="1"/>
  <c r="P104" i="15" s="1"/>
  <c r="P12" i="15"/>
  <c r="C47" i="1"/>
  <c r="Q42" i="15" s="1"/>
  <c r="D5" i="13"/>
  <c r="E5" i="13"/>
  <c r="G6" i="10"/>
  <c r="B6" i="1"/>
  <c r="A2" i="10"/>
  <c r="A2" i="13"/>
  <c r="A2" i="14"/>
  <c r="W4" i="17"/>
  <c r="R2" i="25"/>
  <c r="B129" i="7"/>
  <c r="P4" i="25" s="1"/>
  <c r="R35" i="26"/>
  <c r="D77" i="8"/>
  <c r="R68" i="26" s="1"/>
  <c r="A2" i="5"/>
  <c r="A2" i="9"/>
  <c r="A2" i="8"/>
  <c r="A2" i="6"/>
  <c r="A2" i="7"/>
  <c r="A2" i="4"/>
  <c r="A2" i="3"/>
  <c r="A2" i="1"/>
  <c r="A2" i="2"/>
  <c r="Q13" i="27"/>
  <c r="C33" i="9"/>
  <c r="Q24" i="27" s="1"/>
  <c r="Q2" i="24"/>
  <c r="C159" i="6"/>
  <c r="Q150" i="24" s="1"/>
  <c r="E77" i="8"/>
  <c r="S68" i="26" s="1"/>
  <c r="U2" i="26"/>
  <c r="U3" i="26"/>
  <c r="C8" i="4"/>
  <c r="Q5" i="18"/>
  <c r="D11" i="4"/>
  <c r="R25" i="18"/>
  <c r="F33" i="9"/>
  <c r="T24" i="27" s="1"/>
  <c r="G41" i="5"/>
  <c r="K20" i="3"/>
  <c r="Y5" i="17" s="1"/>
  <c r="Y3" i="17"/>
  <c r="P25" i="18"/>
  <c r="B11" i="4"/>
  <c r="E33" i="9"/>
  <c r="S24" i="27" s="1"/>
  <c r="S13" i="27"/>
  <c r="F20" i="2"/>
  <c r="T13" i="16" s="1"/>
  <c r="T3" i="16"/>
  <c r="C74" i="4"/>
  <c r="Q39" i="18" s="1"/>
  <c r="Q38" i="18"/>
  <c r="U37" i="20"/>
  <c r="R13" i="27"/>
  <c r="D33" i="9"/>
  <c r="R24" i="27" s="1"/>
  <c r="C8" i="2"/>
  <c r="Q33" i="18"/>
  <c r="R19" i="18"/>
  <c r="R4" i="16"/>
  <c r="B6" i="10"/>
  <c r="F6" i="11"/>
  <c r="U39" i="20"/>
  <c r="U31" i="24"/>
  <c r="S77" i="24"/>
  <c r="U14" i="27"/>
  <c r="U5" i="27"/>
  <c r="R2" i="31"/>
  <c r="R32" i="18"/>
  <c r="C6" i="10"/>
  <c r="C5" i="13"/>
  <c r="C65" i="5"/>
  <c r="Q56" i="20" s="1"/>
  <c r="C41" i="5"/>
  <c r="U46" i="20"/>
  <c r="R21" i="24"/>
  <c r="U21" i="24"/>
  <c r="R77" i="24"/>
  <c r="E31" i="12"/>
  <c r="S23" i="30" s="1"/>
  <c r="Q2" i="31"/>
  <c r="B8" i="2"/>
  <c r="E20" i="3"/>
  <c r="S5" i="17" s="1"/>
  <c r="B41" i="5"/>
  <c r="T76" i="24"/>
  <c r="S3" i="26"/>
  <c r="Q2" i="26"/>
  <c r="B21" i="9"/>
  <c r="D32" i="10"/>
  <c r="R23" i="28" s="1"/>
  <c r="U2" i="31"/>
  <c r="E79" i="1"/>
  <c r="P119" i="15" s="1"/>
  <c r="P30" i="18"/>
  <c r="E6" i="10"/>
  <c r="U88" i="24"/>
  <c r="U48" i="26"/>
  <c r="T16" i="27"/>
  <c r="R5" i="27"/>
  <c r="H8" i="2"/>
  <c r="U3" i="17"/>
  <c r="Q110" i="15"/>
  <c r="P19" i="18"/>
  <c r="F5" i="13"/>
  <c r="U58" i="20"/>
  <c r="U30" i="20"/>
  <c r="U131" i="24"/>
  <c r="R12" i="29"/>
  <c r="D31" i="12"/>
  <c r="R23" i="30" s="1"/>
  <c r="P21" i="30"/>
  <c r="U63" i="26"/>
  <c r="A2" i="11"/>
  <c r="U65" i="24"/>
  <c r="U53" i="24"/>
  <c r="E129" i="7"/>
  <c r="S4" i="25" s="1"/>
  <c r="P33" i="18"/>
  <c r="F6" i="1"/>
  <c r="U27" i="20"/>
  <c r="U104" i="24"/>
  <c r="S35" i="26"/>
  <c r="U2" i="30"/>
  <c r="C31" i="12"/>
  <c r="Q23" i="30" s="1"/>
  <c r="F29" i="13"/>
  <c r="T22" i="31" s="1"/>
  <c r="Q25" i="18"/>
  <c r="D74" i="4" l="1"/>
  <c r="R39" i="18" s="1"/>
  <c r="B74" i="4"/>
  <c r="P39" i="18" s="1"/>
  <c r="U2" i="25"/>
  <c r="G33" i="9"/>
  <c r="U24" i="27" s="1"/>
  <c r="R2" i="24"/>
  <c r="R3" i="16"/>
  <c r="S3" i="16"/>
  <c r="G20" i="2"/>
  <c r="U13" i="16" s="1"/>
  <c r="Q95" i="15"/>
  <c r="P95" i="15"/>
  <c r="C62" i="1"/>
  <c r="Q54" i="15" s="1"/>
  <c r="P42" i="15"/>
  <c r="F81" i="1"/>
  <c r="Q120" i="15" s="1"/>
  <c r="U3" i="24"/>
  <c r="E81" i="1"/>
  <c r="P120" i="15" s="1"/>
  <c r="B159" i="6"/>
  <c r="P150" i="24" s="1"/>
  <c r="P2" i="24"/>
  <c r="U36" i="26"/>
  <c r="Q3" i="16"/>
  <c r="C20" i="2"/>
  <c r="Q13" i="16" s="1"/>
  <c r="U77" i="24"/>
  <c r="U76" i="24"/>
  <c r="F77" i="8"/>
  <c r="T68" i="26" s="1"/>
  <c r="T35" i="26"/>
  <c r="G42" i="5"/>
  <c r="U35" i="20" s="1"/>
  <c r="U34" i="20"/>
  <c r="C21" i="4"/>
  <c r="Q2" i="18"/>
  <c r="P13" i="27"/>
  <c r="B33" i="9"/>
  <c r="P24" i="27" s="1"/>
  <c r="B70" i="5"/>
  <c r="P34" i="20"/>
  <c r="C70" i="5"/>
  <c r="Q34" i="20"/>
  <c r="P5" i="18"/>
  <c r="B8" i="4"/>
  <c r="V3" i="16"/>
  <c r="H20" i="2"/>
  <c r="V13" i="16" s="1"/>
  <c r="S2" i="24"/>
  <c r="E159" i="6"/>
  <c r="S150" i="24" s="1"/>
  <c r="D8" i="4"/>
  <c r="R5" i="18"/>
  <c r="P35" i="26"/>
  <c r="B77" i="8"/>
  <c r="P68" i="26" s="1"/>
  <c r="C77" i="8"/>
  <c r="Q68" i="26" s="1"/>
  <c r="G65" i="5"/>
  <c r="U56" i="20" s="1"/>
  <c r="T2" i="24"/>
  <c r="F159" i="6"/>
  <c r="T150" i="24" s="1"/>
  <c r="B20" i="2"/>
  <c r="P13" i="16" s="1"/>
  <c r="P3" i="16"/>
  <c r="D21" i="4" l="1"/>
  <c r="R2" i="18"/>
  <c r="G77" i="8"/>
  <c r="U68" i="26" s="1"/>
  <c r="U35" i="26"/>
  <c r="C23" i="4"/>
  <c r="Q12" i="18"/>
  <c r="G70" i="5"/>
  <c r="U2" i="24"/>
  <c r="G159" i="6"/>
  <c r="U150" i="24" s="1"/>
  <c r="B21" i="4"/>
  <c r="P2" i="18"/>
  <c r="B23" i="4" l="1"/>
  <c r="P12" i="18"/>
  <c r="C25" i="4"/>
  <c r="Q13" i="18"/>
  <c r="D23" i="4"/>
  <c r="R12" i="18"/>
  <c r="B25" i="4" l="1"/>
  <c r="P13" i="18"/>
  <c r="D25" i="4"/>
  <c r="R13" i="18"/>
  <c r="Q14" i="18"/>
  <c r="C33" i="4"/>
  <c r="Q18" i="18" s="1"/>
  <c r="P14" i="18" l="1"/>
  <c r="B33" i="4"/>
  <c r="P18" i="18" s="1"/>
  <c r="R14" i="18"/>
  <c r="D33" i="4"/>
  <c r="R18" i="18" s="1"/>
</calcChain>
</file>

<file path=xl/sharedStrings.xml><?xml version="1.0" encoding="utf-8"?>
<sst xmlns="http://schemas.openxmlformats.org/spreadsheetml/2006/main" count="4295" uniqueCount="3352">
  <si>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</si>
  <si>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</si>
  <si>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</si>
  <si>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</si>
  <si>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</si>
  <si>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</si>
  <si>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</si>
  <si>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</si>
  <si>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</si>
  <si>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</si>
  <si>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</si>
  <si>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</si>
  <si>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</si>
  <si>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</si>
  <si>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</si>
  <si>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</si>
  <si>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</si>
  <si>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</si>
  <si>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</si>
  <si>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</si>
  <si>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</si>
  <si>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</si>
  <si>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</si>
  <si>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</si>
  <si>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</si>
  <si>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</si>
  <si>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</si>
  <si>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</si>
  <si>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</si>
  <si>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</si>
  <si>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</si>
  <si>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</si>
  <si>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</si>
  <si>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</si>
  <si>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</si>
  <si>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</si>
  <si>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</si>
  <si>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</si>
  <si>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</si>
  <si>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</si>
  <si>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</si>
  <si>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</si>
  <si>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</si>
  <si>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</si>
  <si>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</si>
  <si>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</si>
  <si>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</si>
  <si>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</si>
  <si>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</si>
  <si>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</si>
  <si>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</si>
  <si>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</si>
  <si>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</si>
  <si>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</si>
  <si>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</si>
  <si>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</si>
  <si>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</si>
  <si>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</si>
  <si>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</si>
  <si>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</si>
  <si>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</si>
  <si>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</si>
  <si>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</si>
  <si>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</si>
  <si>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</si>
  <si>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</si>
  <si>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</si>
  <si>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</si>
  <si>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</si>
  <si>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</si>
  <si>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</si>
  <si>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</si>
  <si>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</si>
  <si>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</si>
  <si>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</si>
  <si>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</si>
  <si>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</si>
  <si>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</si>
  <si>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</si>
  <si>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</si>
  <si>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</si>
  <si>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</si>
  <si>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</si>
  <si>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</si>
  <si>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</si>
  <si>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</si>
  <si>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</si>
  <si>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</si>
  <si>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</si>
  <si>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</si>
  <si>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</si>
  <si>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</si>
  <si>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</si>
  <si>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</si>
  <si>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</si>
  <si>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</si>
  <si>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</si>
  <si>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</si>
  <si>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</si>
  <si>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</si>
  <si>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</si>
  <si>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</si>
  <si>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</si>
  <si>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</si>
  <si>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</si>
  <si>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</si>
  <si>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</si>
  <si>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</si>
  <si>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</si>
  <si>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</si>
  <si>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</si>
  <si>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</si>
  <si>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</si>
  <si>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</si>
  <si>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</si>
  <si>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</si>
  <si>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</si>
  <si>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</si>
  <si>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</si>
  <si>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</si>
  <si>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</si>
  <si>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</si>
  <si>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</si>
  <si>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</si>
  <si>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</si>
  <si>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</si>
  <si>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</si>
  <si>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</si>
  <si>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</si>
  <si>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</si>
  <si>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</si>
  <si>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</si>
  <si>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</si>
  <si>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</si>
  <si>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</si>
  <si>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</si>
  <si>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</si>
  <si>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</si>
  <si>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</si>
  <si>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</si>
  <si>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</si>
  <si>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</si>
  <si>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</si>
  <si>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</si>
  <si>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</si>
  <si>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</si>
  <si>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</si>
  <si>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</si>
  <si>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</si>
  <si>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</si>
  <si>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</si>
  <si>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</si>
  <si>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</si>
  <si>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</si>
  <si>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</si>
  <si>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</si>
  <si>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</si>
  <si>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</si>
  <si>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</si>
  <si>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</si>
  <si>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</si>
  <si>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</si>
  <si>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</si>
  <si>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</si>
  <si>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</si>
  <si>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</si>
  <si>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</si>
  <si>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</si>
  <si>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</si>
  <si>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</si>
  <si>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</si>
  <si>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</si>
  <si>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</si>
  <si>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</si>
  <si>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</si>
  <si>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</si>
  <si>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</si>
  <si>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</si>
  <si>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</si>
  <si>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</si>
  <si>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</si>
  <si>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</si>
  <si>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</si>
  <si>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</si>
  <si>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</si>
  <si>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</si>
  <si>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</si>
  <si>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</si>
  <si>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</si>
  <si>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</si>
  <si>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</si>
  <si>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</si>
  <si>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</si>
  <si>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</si>
  <si>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</si>
  <si>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</si>
  <si>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</si>
  <si>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</si>
  <si>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</si>
  <si>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</si>
  <si>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</si>
  <si>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</si>
  <si>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</si>
  <si>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</si>
  <si>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</si>
  <si>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</si>
  <si>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</si>
  <si>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</si>
  <si>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</si>
  <si>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</si>
  <si>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</si>
  <si>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</si>
  <si>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</si>
  <si>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</si>
  <si>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</si>
  <si>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</si>
  <si>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</si>
  <si>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</si>
  <si>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</si>
  <si>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</si>
  <si>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</si>
  <si>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</si>
  <si>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</si>
  <si>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</si>
  <si>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</si>
  <si>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</si>
  <si>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</si>
  <si>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</si>
  <si>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</si>
  <si>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</si>
  <si>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</si>
  <si>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</si>
  <si>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</si>
  <si>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</si>
  <si>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</si>
  <si>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</si>
  <si>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</si>
  <si>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</si>
  <si>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</si>
  <si>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</si>
  <si>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</si>
  <si>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</si>
  <si>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</si>
  <si>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</si>
  <si>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</si>
  <si>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</si>
  <si>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</si>
  <si>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</si>
  <si>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</si>
  <si>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</si>
  <si>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</si>
  <si>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</si>
  <si>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</si>
  <si>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</si>
  <si>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</si>
  <si>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</si>
  <si>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</si>
  <si>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</si>
  <si>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</si>
  <si>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</si>
  <si>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</si>
  <si>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</si>
  <si>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</si>
  <si>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</si>
  <si>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</si>
  <si>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</si>
  <si>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</si>
  <si>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</si>
  <si>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</si>
  <si>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</si>
  <si>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</si>
  <si>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</si>
  <si>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</si>
  <si>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</si>
  <si>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</si>
  <si>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</si>
  <si>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</si>
  <si>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</si>
  <si>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</si>
  <si>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</si>
  <si>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</si>
  <si>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</si>
  <si>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</si>
  <si>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</si>
  <si>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</si>
  <si>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</si>
  <si>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</si>
  <si>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</si>
  <si>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</si>
  <si>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</si>
  <si>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</si>
  <si>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</si>
  <si>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</si>
  <si>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</si>
  <si>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</si>
  <si>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</si>
  <si>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</si>
  <si>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</si>
  <si>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</si>
  <si>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</si>
  <si>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</si>
  <si>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</si>
  <si>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</si>
  <si>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</si>
  <si>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</si>
  <si>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</si>
  <si>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</si>
  <si>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</si>
  <si>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</si>
  <si>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</si>
  <si>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</si>
  <si>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</si>
  <si>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</si>
  <si>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</si>
  <si>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</si>
  <si>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</si>
  <si>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</si>
  <si>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</si>
  <si>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</si>
  <si>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</si>
  <si>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</si>
  <si>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</si>
  <si>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</si>
  <si>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</si>
  <si>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</si>
  <si>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</si>
  <si>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</si>
  <si>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</si>
  <si>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</si>
  <si>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</si>
  <si>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</si>
  <si>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</si>
  <si>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</si>
  <si>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</si>
  <si>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</si>
  <si>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</si>
  <si>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</si>
  <si>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</si>
  <si>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</si>
  <si>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</si>
  <si>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</si>
  <si>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</si>
  <si>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</si>
  <si>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</si>
  <si>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</si>
  <si>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</si>
  <si>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</si>
  <si>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</si>
  <si>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</si>
  <si>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</si>
  <si>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</si>
  <si>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</si>
  <si>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</si>
  <si>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</si>
  <si>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</si>
  <si>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</si>
  <si>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</si>
  <si>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</si>
  <si>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</si>
  <si>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</si>
  <si>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</si>
  <si>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</si>
  <si>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</si>
  <si>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</si>
  <si>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</si>
  <si>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</si>
  <si>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</si>
  <si>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</si>
  <si>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</si>
  <si>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</si>
  <si>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</si>
  <si>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</si>
  <si>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</si>
  <si>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</si>
  <si>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</si>
  <si>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</si>
  <si>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</si>
  <si>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</si>
  <si>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</si>
  <si>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</si>
  <si>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</si>
  <si>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</si>
  <si>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</si>
  <si>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</si>
  <si>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</si>
  <si>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</si>
  <si>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</si>
  <si>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</si>
  <si>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</si>
  <si>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</si>
  <si>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</si>
  <si>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</si>
  <si>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</si>
  <si>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</si>
  <si>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</si>
  <si>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</si>
  <si>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</si>
  <si>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</si>
  <si>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</si>
  <si>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</si>
  <si>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</si>
  <si>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</si>
  <si>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</si>
  <si>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</si>
  <si>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</si>
  <si>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</si>
  <si>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</si>
  <si>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</si>
  <si>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</si>
  <si>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</si>
  <si>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</si>
  <si>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</si>
  <si>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</si>
  <si>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</si>
  <si>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</si>
  <si>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</si>
  <si>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</si>
  <si>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</si>
  <si>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</si>
  <si>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</si>
  <si>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</si>
  <si>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</si>
  <si>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</si>
  <si>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</si>
  <si>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</si>
  <si>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</si>
  <si>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</si>
  <si>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</si>
  <si>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</si>
  <si>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</si>
  <si>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</si>
  <si>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</si>
  <si>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</si>
  <si>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</si>
  <si>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</si>
  <si>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</si>
  <si>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</si>
  <si>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</si>
  <si>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</si>
  <si>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</si>
  <si>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</si>
  <si>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</si>
  <si>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</si>
  <si>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</si>
  <si>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</si>
  <si>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</si>
  <si>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</si>
  <si>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</si>
  <si>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</si>
  <si>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</si>
  <si>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</si>
  <si>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</si>
  <si>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</si>
  <si>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</si>
  <si>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</si>
  <si>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</si>
  <si>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</si>
  <si>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</si>
  <si>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</si>
  <si>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</si>
  <si>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</si>
  <si>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</si>
  <si>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</si>
  <si>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</si>
  <si>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</si>
  <si>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</si>
  <si>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</si>
  <si>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</si>
  <si>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</si>
  <si>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</si>
  <si>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</si>
  <si>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</si>
  <si>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</si>
  <si>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</si>
  <si>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</si>
  <si>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</si>
  <si>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</si>
  <si>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</si>
  <si>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</si>
  <si>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</si>
  <si>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</si>
  <si>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</si>
  <si>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</si>
  <si>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</si>
  <si>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</si>
  <si>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</si>
  <si>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</si>
  <si>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</si>
  <si>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</si>
  <si>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</si>
  <si>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</si>
  <si>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</si>
  <si>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</si>
  <si>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</si>
  <si>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</si>
  <si>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</si>
  <si>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</si>
  <si>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</si>
  <si>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</si>
  <si>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</si>
  <si>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</si>
  <si>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</si>
  <si>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</si>
  <si>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</si>
  <si>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</si>
  <si>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</si>
  <si>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</si>
  <si>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</si>
  <si>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</si>
  <si>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</si>
  <si>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</si>
  <si>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</si>
  <si>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</si>
  <si>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</si>
  <si>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</si>
  <si>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</si>
  <si>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</si>
  <si>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</si>
  <si>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</si>
  <si>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</si>
  <si>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</si>
  <si>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</si>
  <si>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</si>
  <si>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</si>
  <si>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</si>
  <si>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</si>
  <si>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</si>
  <si>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</si>
  <si>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</si>
  <si>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</si>
  <si>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</si>
  <si>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</si>
  <si>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</si>
  <si>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</si>
  <si>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</si>
  <si>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</si>
  <si>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</si>
  <si>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</si>
  <si>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</si>
  <si>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</si>
  <si>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</si>
  <si>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</si>
  <si>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</si>
  <si>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</si>
  <si>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</si>
  <si>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</si>
  <si>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</si>
  <si>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</si>
  <si>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</si>
  <si>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</si>
  <si>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</si>
  <si>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</si>
  <si>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</si>
  <si>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</si>
  <si>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</si>
  <si>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</si>
  <si>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</si>
  <si>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</si>
  <si>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</si>
  <si>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</si>
  <si>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</si>
  <si>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</si>
  <si>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</si>
  <si>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</si>
  <si>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</si>
  <si>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</si>
  <si>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</si>
  <si>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</si>
  <si>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</si>
  <si>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</si>
  <si>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</si>
  <si>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</si>
  <si>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</si>
  <si>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</si>
  <si>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</si>
  <si>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</si>
  <si>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</si>
  <si>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</si>
  <si>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</si>
  <si>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</si>
  <si>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</si>
  <si>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</si>
  <si>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</si>
  <si>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</si>
  <si>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</si>
  <si>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</si>
  <si>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</si>
  <si>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</si>
  <si>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</si>
  <si>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</si>
  <si>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</si>
  <si>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</si>
  <si>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</si>
  <si>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</si>
  <si>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</si>
  <si>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</si>
  <si>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</si>
  <si>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</si>
  <si>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</si>
  <si>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</si>
  <si>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</si>
  <si>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</si>
  <si>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</si>
  <si>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</si>
  <si>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</si>
  <si>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</si>
  <si>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</si>
  <si>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</si>
  <si>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</si>
  <si>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</si>
  <si>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</si>
  <si>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</si>
  <si>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</si>
  <si>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</si>
  <si>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</si>
  <si>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</si>
  <si>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</si>
  <si>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</si>
  <si>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</si>
  <si>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</si>
  <si>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</si>
  <si>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</si>
  <si>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</si>
  <si>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</si>
  <si>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</si>
  <si>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</si>
  <si>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</si>
  <si>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</si>
  <si>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</si>
  <si>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</si>
  <si>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</si>
  <si>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</si>
  <si>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</si>
  <si>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</si>
  <si>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</si>
  <si>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</si>
  <si>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</si>
  <si>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</si>
  <si>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</si>
  <si>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</si>
  <si>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</si>
  <si>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</si>
  <si>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</si>
  <si>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</si>
  <si>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</si>
  <si>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</si>
  <si>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</si>
  <si>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</si>
  <si>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</si>
  <si>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</si>
  <si>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</si>
  <si>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</si>
  <si>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</si>
  <si>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</si>
  <si>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</si>
  <si>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</si>
  <si>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</si>
  <si>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</si>
  <si>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</si>
  <si>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</si>
  <si>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</si>
  <si>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</si>
  <si>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</si>
  <si>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</si>
  <si>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</si>
  <si>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</si>
  <si>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</si>
  <si>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</si>
  <si>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</si>
  <si>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</si>
  <si>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</si>
  <si>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</si>
  <si>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</si>
  <si>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</si>
  <si>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</si>
  <si>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</si>
  <si>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</si>
  <si>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</si>
  <si>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</si>
  <si>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</si>
  <si>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</si>
  <si>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</si>
  <si>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</si>
  <si>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</si>
  <si>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</si>
  <si>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</si>
  <si>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</si>
  <si>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</si>
  <si>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</si>
  <si>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</si>
  <si>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</si>
  <si>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</si>
  <si>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</si>
  <si>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</si>
  <si>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</si>
  <si>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</si>
  <si>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</si>
  <si>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</si>
  <si>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</si>
  <si>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</si>
  <si>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</si>
  <si>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</si>
  <si>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</si>
  <si>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</si>
  <si>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</si>
  <si>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</si>
  <si>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</si>
  <si>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</si>
  <si>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</si>
  <si>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</si>
  <si>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</si>
  <si>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</si>
  <si>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</si>
  <si>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</si>
  <si>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</si>
  <si>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</si>
  <si>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</si>
  <si>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</si>
  <si>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</si>
  <si>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</si>
  <si>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</si>
  <si>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</si>
  <si>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</si>
  <si>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</si>
  <si>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</si>
  <si>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</si>
  <si>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</si>
  <si>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</si>
  <si>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</si>
  <si>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</si>
  <si>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</si>
  <si>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</si>
  <si>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</si>
  <si>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</si>
  <si>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</si>
  <si>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</si>
  <si>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</si>
  <si>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</si>
  <si>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</si>
  <si>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</si>
  <si>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</si>
  <si>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</si>
  <si>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</si>
  <si>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</si>
  <si>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</si>
  <si>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</si>
  <si>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</si>
  <si>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</si>
  <si>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</si>
  <si>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</si>
  <si>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</si>
  <si>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</si>
  <si>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</si>
  <si>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</si>
  <si>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</si>
  <si>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</si>
  <si>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</si>
  <si>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</si>
  <si>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</si>
  <si>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</si>
  <si>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</si>
  <si>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</si>
  <si>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</si>
  <si>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</si>
  <si>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</si>
  <si>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</si>
  <si>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</si>
  <si>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</si>
  <si>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</si>
  <si>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</si>
  <si>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</si>
  <si>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</si>
  <si>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</si>
  <si>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</si>
  <si>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</si>
  <si>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</si>
  <si>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</si>
  <si>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</si>
  <si>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</si>
  <si>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</si>
  <si>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</si>
  <si>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</si>
  <si>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</si>
  <si>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</si>
  <si>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</si>
  <si>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</si>
  <si>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</si>
  <si>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</si>
  <si>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</si>
  <si>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</si>
  <si>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</si>
  <si>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</si>
  <si>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</si>
  <si>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</si>
  <si>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</si>
  <si>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</si>
  <si>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</si>
  <si>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</si>
  <si>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</si>
  <si>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</si>
  <si>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</si>
  <si>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</si>
  <si>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</si>
  <si>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</si>
  <si>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</si>
  <si>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</si>
  <si>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</si>
  <si>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</si>
  <si>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</si>
  <si>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</si>
  <si>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</si>
  <si>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</si>
  <si>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</si>
  <si>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</si>
  <si>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</si>
  <si>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</si>
  <si>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</si>
  <si>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</si>
  <si>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</si>
  <si>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</si>
  <si>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</si>
  <si>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</si>
  <si>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</si>
  <si>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</si>
  <si>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</si>
  <si>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</si>
  <si>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</si>
  <si>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</si>
  <si>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</si>
  <si>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</si>
  <si>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</si>
  <si>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</si>
  <si>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</si>
  <si>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</si>
  <si>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</si>
  <si>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</si>
  <si>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</si>
  <si>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</si>
  <si>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</si>
  <si>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</si>
  <si>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</si>
  <si>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</si>
  <si>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</si>
  <si>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</si>
  <si>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</si>
  <si>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</si>
  <si>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</si>
  <si>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</si>
  <si>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</si>
  <si>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</si>
  <si>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</si>
  <si>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</si>
  <si>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</si>
  <si>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</si>
  <si>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</si>
  <si>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</si>
  <si>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</si>
  <si>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</si>
  <si>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</si>
  <si>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</si>
  <si>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</si>
  <si>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</si>
  <si>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</si>
  <si>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</si>
  <si>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</si>
  <si>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</si>
  <si>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</si>
  <si>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</si>
  <si>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</si>
  <si>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</si>
  <si>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</si>
  <si>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</si>
  <si>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</si>
  <si>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</si>
  <si>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</si>
  <si>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</si>
  <si>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</si>
  <si>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</si>
  <si>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</si>
  <si>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</si>
  <si>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</si>
  <si>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</si>
  <si>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</si>
  <si>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</si>
  <si>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</si>
  <si>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</si>
  <si>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</si>
  <si>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</si>
  <si>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</si>
  <si>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</si>
  <si>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</si>
  <si>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</si>
  <si>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</si>
  <si>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</si>
  <si>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</si>
  <si>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</si>
  <si>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</si>
  <si>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</si>
  <si>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</si>
  <si>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</si>
  <si>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</si>
  <si>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</si>
  <si>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</si>
  <si>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</si>
  <si>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</si>
  <si>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</si>
  <si>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</si>
  <si>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</si>
  <si>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</si>
  <si>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</si>
  <si>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</si>
  <si>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</si>
  <si>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</si>
  <si>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</si>
  <si>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</si>
  <si>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</si>
  <si>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</si>
  <si>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</si>
  <si>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</si>
  <si>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</si>
  <si>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</si>
  <si>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</si>
  <si>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</si>
  <si>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</si>
  <si>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</si>
  <si>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</si>
  <si>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</si>
  <si>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</si>
  <si>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</si>
  <si>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</si>
  <si>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</si>
  <si>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</si>
  <si>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</si>
  <si>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</si>
  <si>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</si>
  <si>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</si>
  <si>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</si>
  <si>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</si>
  <si>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</si>
  <si>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</si>
  <si>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</si>
  <si>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</si>
  <si>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</si>
  <si>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</si>
  <si>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</si>
  <si>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</si>
  <si>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</si>
  <si>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</si>
  <si>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</si>
  <si>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</si>
  <si>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</si>
  <si>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</si>
  <si>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</si>
  <si>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</si>
  <si>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</si>
  <si>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</si>
  <si>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</si>
  <si>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</si>
  <si>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</si>
  <si>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</si>
  <si>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</si>
  <si>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</si>
  <si>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</si>
  <si>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</si>
  <si>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</si>
  <si>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</si>
  <si>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</si>
  <si>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</si>
  <si>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</si>
  <si>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</si>
  <si>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</si>
  <si>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</si>
  <si>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</si>
  <si>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</si>
  <si>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</si>
  <si>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</si>
  <si>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</si>
  <si>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</si>
  <si>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</si>
  <si>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</si>
  <si>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</si>
  <si>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</si>
  <si>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</si>
  <si>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</si>
  <si>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</si>
  <si>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</si>
  <si>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</si>
  <si>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</si>
  <si>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</si>
  <si>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</si>
  <si>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</si>
  <si>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</si>
  <si>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</si>
  <si>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</si>
  <si>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</si>
  <si>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</si>
  <si>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</si>
  <si>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</si>
  <si>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</si>
  <si>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</si>
  <si>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</si>
  <si>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</si>
  <si>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</si>
  <si>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</si>
  <si>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</si>
  <si>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</si>
  <si>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</si>
  <si>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</si>
  <si>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</si>
  <si>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</si>
  <si>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</si>
  <si>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</si>
  <si>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</si>
  <si>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</si>
  <si>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</si>
  <si>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</si>
  <si>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</si>
  <si>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</si>
  <si>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</si>
  <si>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</si>
  <si>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</si>
  <si>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</si>
  <si>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</si>
  <si>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</si>
  <si>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</si>
  <si>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</si>
  <si>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</si>
  <si>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</si>
  <si>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</si>
  <si>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</si>
  <si>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</si>
  <si>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</si>
  <si>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</si>
  <si>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</si>
  <si>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</si>
  <si>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</si>
  <si>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</si>
  <si>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</si>
  <si>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</si>
  <si>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</si>
  <si>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</si>
  <si>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</si>
  <si>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</si>
  <si>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</si>
  <si>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</si>
  <si>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</si>
  <si>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</si>
  <si>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</si>
  <si>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</si>
  <si>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</si>
  <si>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</si>
  <si>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</si>
  <si>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</si>
  <si>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</si>
  <si>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</si>
  <si>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</si>
  <si>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</si>
  <si>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</si>
  <si>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</si>
  <si>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</si>
  <si>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</si>
  <si>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</si>
  <si>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</si>
  <si>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</si>
  <si>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</si>
  <si>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</si>
  <si>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</si>
  <si>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</si>
  <si>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</si>
  <si>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</si>
  <si>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</si>
  <si>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</si>
  <si>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</si>
  <si>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</si>
  <si>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</si>
  <si>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</si>
  <si>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</si>
  <si>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</si>
  <si>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</si>
  <si>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</si>
  <si>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</si>
  <si>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</si>
  <si>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</si>
  <si>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</si>
  <si>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</si>
  <si>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</si>
  <si>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</si>
  <si>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</si>
  <si>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</si>
  <si>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</si>
  <si>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</si>
  <si>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</si>
  <si>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</si>
  <si>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</si>
  <si>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</si>
  <si>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</si>
  <si>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</si>
  <si>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</si>
  <si>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</si>
  <si>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</si>
  <si>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</si>
  <si>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</si>
  <si>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</si>
  <si>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</si>
  <si>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</si>
  <si>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</si>
  <si>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</si>
  <si>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</si>
  <si>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</si>
  <si>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</si>
  <si>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</si>
  <si>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</si>
  <si>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</si>
  <si>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</si>
  <si>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</si>
  <si>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</si>
  <si>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</si>
  <si>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</si>
  <si>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</si>
  <si>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</si>
  <si>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</si>
  <si>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</si>
  <si>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</si>
  <si>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</si>
  <si>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</si>
  <si>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</si>
  <si>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</si>
  <si>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</si>
  <si>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</si>
  <si>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</si>
  <si>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</si>
  <si>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</si>
  <si>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</si>
  <si>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</si>
  <si>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</si>
  <si>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</si>
  <si>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</si>
  <si>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</si>
  <si>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</si>
  <si>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</si>
  <si>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</si>
  <si>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</si>
  <si>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</si>
  <si>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</si>
  <si>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</si>
  <si>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</si>
  <si>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</si>
  <si>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</si>
  <si>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</si>
  <si>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</si>
  <si>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</si>
  <si>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</si>
  <si>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</si>
  <si>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</si>
  <si>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</si>
  <si>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</si>
  <si>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</si>
  <si>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</si>
  <si>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</si>
  <si>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</si>
  <si>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</si>
  <si>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</si>
  <si>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</si>
  <si>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</si>
  <si>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</si>
  <si>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</si>
  <si>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</si>
  <si>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</si>
  <si>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</si>
  <si>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</si>
  <si>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</si>
  <si>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</si>
  <si>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</si>
  <si>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</si>
  <si>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</si>
  <si>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</si>
  <si>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</si>
  <si>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</si>
  <si>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</si>
  <si>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</si>
  <si>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</si>
  <si>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</si>
  <si>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</si>
  <si>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</si>
  <si>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</si>
  <si>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</si>
  <si>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</si>
  <si>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</si>
  <si>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</si>
  <si>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</si>
  <si>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</si>
  <si>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</si>
  <si>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</si>
  <si>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</si>
  <si>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</si>
  <si>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</si>
  <si>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</si>
  <si>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</si>
  <si>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</si>
  <si>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</si>
  <si>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</si>
  <si>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</si>
  <si>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</si>
  <si>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</si>
  <si>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</si>
  <si>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</si>
  <si>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</si>
  <si>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</si>
  <si>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</si>
  <si>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</si>
  <si>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</si>
  <si>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</si>
  <si>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</si>
  <si>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</si>
  <si>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</si>
  <si>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</si>
  <si>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</si>
  <si>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</si>
  <si>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</si>
  <si>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</si>
  <si>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</si>
  <si>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</si>
  <si>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</si>
  <si>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</si>
  <si>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</si>
  <si>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</si>
  <si>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</si>
  <si>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</si>
  <si>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</si>
  <si>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</si>
  <si>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</si>
  <si>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</si>
  <si>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</si>
  <si>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</si>
  <si>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</si>
  <si>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</si>
  <si>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</si>
  <si>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</si>
  <si>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</si>
  <si>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</si>
  <si>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</si>
  <si>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</si>
  <si>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</si>
  <si>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</si>
  <si>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</si>
  <si>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</si>
  <si>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</si>
  <si>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</si>
  <si>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</si>
  <si>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</si>
  <si>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</si>
  <si>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</si>
  <si>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</si>
  <si>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</si>
  <si>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</si>
  <si>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</si>
  <si>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</si>
  <si>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</si>
  <si>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</si>
  <si>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</si>
  <si>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</si>
  <si>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</si>
  <si>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</si>
  <si>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</si>
  <si>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</si>
  <si>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</si>
  <si>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</si>
  <si>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</si>
  <si>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</si>
  <si>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</si>
  <si>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</si>
  <si>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</si>
  <si>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</si>
  <si>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</si>
  <si>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</si>
  <si>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</si>
  <si>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</si>
  <si>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</si>
  <si>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</si>
  <si>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</si>
  <si>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</si>
  <si>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</si>
  <si>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</si>
  <si>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</si>
  <si>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</si>
  <si>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</si>
  <si>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</si>
  <si>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</si>
  <si>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</si>
  <si>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</si>
  <si>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</si>
  <si>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</si>
  <si>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</si>
  <si>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</si>
  <si>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</si>
  <si>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</si>
  <si>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</si>
  <si>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</si>
  <si>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</si>
  <si>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</si>
  <si>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</si>
  <si>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</si>
  <si>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</si>
  <si>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</si>
  <si>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</si>
  <si>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</si>
  <si>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</si>
  <si>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</si>
  <si>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</si>
  <si>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</si>
  <si>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</si>
  <si>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</si>
  <si>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</si>
  <si>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</si>
  <si>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</si>
  <si>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</si>
  <si>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</si>
  <si>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</si>
  <si>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</si>
  <si>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</si>
  <si>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</si>
  <si>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</si>
  <si>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</si>
  <si>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</si>
  <si>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</si>
  <si>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</si>
  <si>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</si>
  <si>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</si>
  <si>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</si>
  <si>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</si>
  <si>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</si>
  <si>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</si>
  <si>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</si>
  <si>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</si>
  <si>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</si>
  <si>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</si>
  <si>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</si>
  <si>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</si>
  <si>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</si>
  <si>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</si>
  <si>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</si>
  <si>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</si>
  <si>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</si>
  <si>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</si>
  <si>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</si>
  <si>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</si>
  <si>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</si>
  <si>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</si>
  <si>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</si>
  <si>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</si>
  <si>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</si>
  <si>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</si>
  <si>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</si>
  <si>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</si>
  <si>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</si>
  <si>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</si>
  <si>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</si>
  <si>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</si>
  <si>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</si>
  <si>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</si>
  <si>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</si>
  <si>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</si>
  <si>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</si>
  <si>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</si>
  <si>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</si>
  <si>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</si>
  <si>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</si>
  <si>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</si>
  <si>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</si>
  <si>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</si>
  <si>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</si>
  <si>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</si>
  <si>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</si>
  <si>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</si>
  <si>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</si>
  <si>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</si>
  <si>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</si>
  <si>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</si>
  <si>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</si>
  <si>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</si>
  <si>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</si>
  <si>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</si>
  <si>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</si>
  <si>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</si>
  <si>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</si>
  <si>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</si>
  <si>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</si>
  <si>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</si>
  <si>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</si>
  <si>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</si>
  <si>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</si>
  <si>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</si>
  <si>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</si>
  <si>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</si>
  <si>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</si>
  <si>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</si>
  <si>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</si>
  <si>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</si>
  <si>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</si>
  <si>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</si>
  <si>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</si>
  <si>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</si>
  <si>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</si>
  <si>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</si>
  <si>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</si>
  <si>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</si>
  <si>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</si>
  <si>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</si>
  <si>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</si>
  <si>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</si>
  <si>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</si>
  <si>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</si>
  <si>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</si>
  <si>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</si>
  <si>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</si>
  <si>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</si>
  <si>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</si>
  <si>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</si>
  <si>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</si>
  <si>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</si>
  <si>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</si>
  <si>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</si>
  <si>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</si>
  <si>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</si>
  <si>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</si>
  <si>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</si>
  <si>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</si>
  <si>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</si>
  <si>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</si>
  <si>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</si>
  <si>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</si>
  <si>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</si>
  <si>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</si>
  <si>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</si>
  <si>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</si>
  <si>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</si>
  <si>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</si>
  <si>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</si>
  <si>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</si>
  <si>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</si>
  <si>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</si>
  <si>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</si>
  <si>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</si>
  <si>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</si>
  <si>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</si>
  <si>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</si>
  <si>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</si>
  <si>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</si>
  <si>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</si>
  <si>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</si>
  <si>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</si>
  <si>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</si>
  <si>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</si>
  <si>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</si>
  <si>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</si>
  <si>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</si>
  <si>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</si>
  <si>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</si>
  <si>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</si>
  <si>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</si>
  <si>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</si>
  <si>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</si>
  <si>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</si>
  <si>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</si>
  <si>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</si>
  <si>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</si>
  <si>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</si>
  <si>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</si>
  <si>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</si>
  <si>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</si>
  <si>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</si>
  <si>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</si>
  <si>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</si>
  <si>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</si>
  <si>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</si>
  <si>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</si>
  <si>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</si>
  <si>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</si>
  <si>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</si>
  <si>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</si>
  <si>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</si>
  <si>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</si>
  <si>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</si>
  <si>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</si>
  <si>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</si>
  <si>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</si>
  <si>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</si>
  <si>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</si>
  <si>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</si>
  <si>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</si>
  <si>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</si>
  <si>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</si>
  <si>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</si>
  <si>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</si>
  <si>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</si>
  <si>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</si>
  <si>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</si>
  <si>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</si>
  <si>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</si>
  <si>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</si>
  <si>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</si>
  <si>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</si>
  <si>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</si>
  <si>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</si>
  <si>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</si>
  <si>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</si>
  <si>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</si>
  <si>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</si>
  <si>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</si>
  <si>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</si>
  <si>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</si>
  <si>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</si>
  <si>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</si>
  <si>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</si>
  <si>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</si>
  <si>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</si>
  <si>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</si>
  <si>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</si>
  <si>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</si>
  <si>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</si>
  <si>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</si>
  <si>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</si>
  <si>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</si>
  <si>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</si>
  <si>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</si>
  <si>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</si>
  <si>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</si>
  <si>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</si>
  <si>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</si>
  <si>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</si>
  <si>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</si>
  <si>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</si>
  <si>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</si>
  <si>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</si>
  <si>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</si>
  <si>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</si>
  <si>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</si>
  <si>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</si>
  <si>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</si>
  <si>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</si>
  <si>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</si>
  <si>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</si>
  <si>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</si>
  <si>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</si>
  <si>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</si>
  <si>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</si>
  <si>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</si>
  <si>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</si>
  <si>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</si>
  <si>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</si>
  <si>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</si>
  <si>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</si>
  <si>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</si>
  <si>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</si>
  <si>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</si>
  <si>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</si>
  <si>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</si>
  <si>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</si>
  <si>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</si>
  <si>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</si>
  <si>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</si>
  <si>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</si>
  <si>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</si>
  <si>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</si>
  <si>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</si>
  <si>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</si>
  <si>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</si>
  <si>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</si>
  <si>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</si>
  <si>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</si>
  <si>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</si>
  <si>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</si>
  <si>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</si>
  <si>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</si>
  <si>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</si>
  <si>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</si>
  <si>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</si>
  <si>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</si>
  <si>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</si>
  <si>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</si>
  <si>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</si>
  <si>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</si>
  <si>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</si>
  <si>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</si>
  <si>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</si>
  <si>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</si>
  <si>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</si>
  <si>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</si>
  <si>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</si>
  <si>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</si>
  <si>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</si>
  <si>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</si>
  <si>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</si>
  <si>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</si>
  <si>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</si>
  <si>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</si>
  <si>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</si>
  <si>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</si>
  <si>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</si>
  <si>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</si>
  <si>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</si>
  <si>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</si>
  <si>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</si>
  <si>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</si>
  <si>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</si>
  <si>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</si>
  <si>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</si>
  <si>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</si>
  <si>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</si>
  <si>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</si>
  <si>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</si>
  <si>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</si>
  <si>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</si>
  <si>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</si>
  <si>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</si>
  <si>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</si>
  <si>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</si>
  <si>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</si>
  <si>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</si>
  <si>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</si>
  <si>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</si>
  <si>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</si>
  <si>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</si>
  <si>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</si>
  <si>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</si>
  <si>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</si>
  <si>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</si>
  <si>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</si>
  <si>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</si>
  <si>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</si>
  <si>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</si>
  <si>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</si>
  <si>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</si>
  <si>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</si>
  <si>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</si>
  <si>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</si>
  <si>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</si>
  <si>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</si>
  <si>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</si>
  <si>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</si>
  <si>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</si>
  <si>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</si>
  <si>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</si>
  <si>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</si>
  <si>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</si>
  <si>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</si>
  <si>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</si>
  <si>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</si>
  <si>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</si>
  <si>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</si>
  <si>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</si>
  <si>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</si>
  <si>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</si>
  <si>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</si>
  <si>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</si>
  <si>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</si>
  <si>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</si>
  <si>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</si>
  <si>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</si>
  <si>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</si>
  <si>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</si>
  <si>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</si>
  <si>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</si>
  <si>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</si>
  <si>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</si>
  <si>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</si>
  <si>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</si>
  <si>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</si>
  <si>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</si>
  <si>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</si>
  <si>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</si>
  <si>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</si>
  <si>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</si>
  <si>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</si>
  <si>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</si>
  <si>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</si>
  <si>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</si>
  <si>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</si>
  <si>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</si>
  <si>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</si>
  <si>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</si>
  <si>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</si>
  <si>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</si>
  <si>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</si>
  <si>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</si>
  <si>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</si>
  <si>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</si>
  <si>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</si>
  <si>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</si>
  <si>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</si>
  <si>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</si>
  <si>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</si>
  <si>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</si>
  <si>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</si>
  <si>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</si>
  <si>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</si>
  <si>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</si>
  <si>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</si>
  <si>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</si>
  <si>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</si>
  <si>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</si>
  <si>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</si>
  <si>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</si>
  <si>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</si>
  <si>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</si>
  <si>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</si>
  <si>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</si>
  <si>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</si>
  <si>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</si>
  <si>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</si>
  <si>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</si>
  <si>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</si>
  <si>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</si>
  <si>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</si>
  <si>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</si>
  <si>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</si>
  <si>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</si>
  <si>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</si>
  <si>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</si>
  <si>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</si>
  <si>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</si>
  <si>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</si>
  <si>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</si>
  <si>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</si>
  <si>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</si>
  <si>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</si>
  <si>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</si>
  <si>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</si>
  <si>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</si>
  <si>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</si>
  <si>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</si>
  <si>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</si>
  <si>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</si>
  <si>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</si>
  <si>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</si>
  <si>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</si>
  <si>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</si>
  <si>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</si>
  <si>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</si>
  <si>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</si>
  <si>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</si>
  <si>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</si>
  <si>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</si>
  <si>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</si>
  <si>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</si>
  <si>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</si>
  <si>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</si>
  <si>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</si>
  <si>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</si>
  <si>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</si>
  <si>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</si>
  <si>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</si>
  <si>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</si>
  <si>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</si>
  <si>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</si>
  <si>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</si>
  <si>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</si>
  <si>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</si>
  <si>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</si>
  <si>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</si>
  <si>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</si>
  <si>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</si>
  <si>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</si>
  <si>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</si>
  <si>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</si>
  <si>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</si>
  <si>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</si>
  <si>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</si>
  <si>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</si>
  <si>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</si>
  <si>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</si>
  <si>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</si>
  <si>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</si>
  <si>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</si>
  <si>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</si>
  <si>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</si>
  <si>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</si>
  <si>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</si>
  <si>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</si>
  <si>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</si>
  <si>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</si>
  <si>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</si>
  <si>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</si>
  <si>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</si>
  <si>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</si>
  <si>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</si>
  <si>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</si>
  <si>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</si>
  <si>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</si>
  <si>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</si>
  <si>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</si>
  <si>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</si>
  <si>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</si>
  <si>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</si>
  <si>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</si>
  <si>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</si>
  <si>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</si>
  <si>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</si>
  <si>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</si>
  <si>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</si>
  <si>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</si>
  <si>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</si>
  <si>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</si>
  <si>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</si>
  <si>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</si>
  <si>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</si>
  <si>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</si>
  <si>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</si>
  <si>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</si>
  <si>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</si>
  <si>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</si>
  <si>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</si>
  <si>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</si>
  <si>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</si>
  <si>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</si>
  <si>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</si>
  <si>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</si>
  <si>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</si>
  <si>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</si>
  <si>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</si>
  <si>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</si>
  <si>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</si>
  <si>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</si>
  <si>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</si>
  <si>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</si>
  <si>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</si>
  <si>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</si>
  <si>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</si>
  <si>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</si>
  <si>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</si>
  <si>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</si>
  <si>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</si>
  <si>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</si>
  <si>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</si>
  <si>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</si>
  <si>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</si>
  <si>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</si>
  <si>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</si>
  <si>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</si>
  <si>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</si>
  <si>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</si>
  <si>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</si>
  <si>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</si>
  <si>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</si>
  <si>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</si>
  <si>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</si>
  <si>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</si>
  <si>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</si>
  <si>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</si>
  <si>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</si>
  <si>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</si>
  <si>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</si>
  <si>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</si>
  <si>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</si>
  <si>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</si>
  <si>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</si>
  <si>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</si>
  <si>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</si>
  <si>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</si>
  <si>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</si>
  <si>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</si>
  <si>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</si>
  <si>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</si>
  <si>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</si>
  <si>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</si>
  <si>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</si>
  <si>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</si>
  <si>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</si>
  <si>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</si>
  <si>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</si>
  <si>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</si>
  <si>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</si>
  <si>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</si>
  <si>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</si>
  <si>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</si>
  <si>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</si>
  <si>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</si>
  <si>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</si>
  <si>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</si>
  <si>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</si>
  <si>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</si>
  <si>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</si>
  <si>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</si>
  <si>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</si>
  <si>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</si>
  <si>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</si>
  <si>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</si>
  <si>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</si>
  <si>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</si>
  <si>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</si>
  <si>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</si>
  <si>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</si>
  <si>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</si>
  <si>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</si>
  <si>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</si>
  <si>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</si>
  <si>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</si>
  <si>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</si>
  <si>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</si>
  <si>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</si>
  <si>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</si>
  <si>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</si>
  <si>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</si>
  <si>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</si>
  <si>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</si>
  <si>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</si>
  <si>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</si>
  <si>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</si>
  <si>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</si>
  <si>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</si>
  <si>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</si>
  <si>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</si>
  <si>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</si>
  <si>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</si>
  <si>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</si>
  <si>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</si>
  <si>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</si>
  <si>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</si>
  <si>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</si>
  <si>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</si>
  <si>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</si>
  <si>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</si>
  <si>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</si>
  <si>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</si>
  <si>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</si>
  <si>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</si>
  <si>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</si>
  <si>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</si>
  <si>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</si>
  <si>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</si>
  <si>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</si>
  <si>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</si>
  <si>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</si>
  <si>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</si>
  <si>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</si>
  <si>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</si>
  <si>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</si>
  <si>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</si>
  <si>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</si>
  <si>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</si>
  <si>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</si>
  <si>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</si>
  <si>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</si>
  <si>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</si>
  <si>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</si>
  <si>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</si>
  <si>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</si>
  <si>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</si>
  <si>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</si>
  <si>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</si>
  <si>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</si>
  <si>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</si>
  <si>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</si>
  <si>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</si>
  <si>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</si>
  <si>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</si>
  <si>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</si>
  <si>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</si>
  <si>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</si>
  <si>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</si>
  <si>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</si>
  <si>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</si>
  <si>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</si>
  <si>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</si>
  <si>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</si>
  <si>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</si>
  <si>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</si>
  <si>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</si>
  <si>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</si>
  <si>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</si>
  <si>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</si>
  <si>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</si>
  <si>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</si>
  <si>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</si>
  <si>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</si>
  <si>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</si>
  <si>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</si>
  <si>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</si>
  <si>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</si>
  <si>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</si>
  <si>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</si>
  <si>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</si>
  <si>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</si>
  <si>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</si>
  <si>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</si>
  <si>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</si>
  <si>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</si>
  <si>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</si>
  <si>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</si>
  <si>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</si>
  <si>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</si>
  <si>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</si>
  <si>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</si>
  <si>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</si>
  <si>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</si>
  <si>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</si>
  <si>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</si>
  <si>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</si>
  <si>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</si>
  <si>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</si>
  <si>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</si>
  <si>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</si>
  <si>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</si>
  <si>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</si>
  <si>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</si>
  <si>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</si>
  <si>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</si>
  <si>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</si>
  <si>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</si>
  <si>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</si>
  <si>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</si>
  <si>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</si>
  <si>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</si>
  <si>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</si>
  <si>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</si>
  <si>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</si>
  <si>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</si>
  <si>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</si>
  <si>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</si>
  <si>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</si>
  <si>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</si>
  <si>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</si>
  <si>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</si>
  <si>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</si>
  <si>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</si>
  <si>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</si>
  <si>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</si>
  <si>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</si>
  <si>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</si>
  <si>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</si>
  <si>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</si>
  <si>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</si>
  <si>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</si>
  <si>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</si>
  <si>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</si>
  <si>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</si>
  <si>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</si>
  <si>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</si>
  <si>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</si>
  <si>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</si>
  <si>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</si>
  <si>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</si>
  <si>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</si>
  <si>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</si>
  <si>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</si>
  <si>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</si>
  <si>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</si>
  <si>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</si>
  <si>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</si>
  <si>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</si>
  <si>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</si>
  <si>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</si>
  <si>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</si>
  <si>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</si>
  <si>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</si>
  <si>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</si>
  <si>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</si>
  <si>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</si>
  <si>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</si>
  <si>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</si>
  <si>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</si>
  <si>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</si>
  <si>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</si>
  <si>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</si>
  <si>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</si>
  <si>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</si>
  <si>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</si>
  <si>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</si>
  <si>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</si>
  <si>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</si>
  <si>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</si>
  <si>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</si>
  <si>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</si>
  <si>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</si>
  <si>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</si>
  <si>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</si>
  <si>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</si>
  <si>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</si>
  <si>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</si>
  <si>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</si>
  <si>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</si>
  <si>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</si>
  <si>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</si>
  <si>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</si>
  <si>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</si>
  <si>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</si>
  <si>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</si>
  <si>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</si>
  <si>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</si>
  <si>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</si>
  <si>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</si>
  <si>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</si>
  <si>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</si>
  <si>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</si>
  <si>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</si>
  <si>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</si>
  <si>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</si>
  <si>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</si>
  <si>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</si>
  <si>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</si>
  <si>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</si>
  <si>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</si>
  <si>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</si>
  <si>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</si>
  <si>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</si>
  <si>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</si>
  <si>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</si>
  <si>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</si>
  <si>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</si>
  <si>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</si>
  <si>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</si>
  <si>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</si>
  <si>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</si>
  <si>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</si>
  <si>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</si>
  <si>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</si>
  <si>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</si>
  <si>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</si>
  <si>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</si>
  <si>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</si>
  <si>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</si>
  <si>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</si>
  <si>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</si>
  <si>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</si>
  <si>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</si>
  <si>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</si>
  <si>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</si>
  <si>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</si>
  <si>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</si>
  <si>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</si>
  <si>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</si>
  <si>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</si>
  <si>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</si>
  <si>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</si>
  <si>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</si>
  <si>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</si>
  <si>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</si>
  <si>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</si>
  <si>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</si>
  <si>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</si>
  <si>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</si>
  <si>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</si>
  <si>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</si>
  <si>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</si>
  <si>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</si>
  <si>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</si>
  <si>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</si>
  <si>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</si>
  <si>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</si>
  <si>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</si>
  <si>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</si>
  <si>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</si>
  <si>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</si>
  <si>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</si>
  <si>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</si>
  <si>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</si>
  <si>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</si>
  <si>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</si>
  <si>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</si>
  <si>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</si>
  <si>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</si>
  <si>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</si>
  <si>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</si>
  <si>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</si>
  <si>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</si>
  <si>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</si>
  <si>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</si>
  <si>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</si>
  <si>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</si>
  <si>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</si>
  <si>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</si>
  <si>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</si>
  <si>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</si>
  <si>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</si>
  <si>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</si>
  <si>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</si>
  <si>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</si>
  <si>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</si>
  <si>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</si>
  <si>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</si>
  <si>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</si>
  <si>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</si>
  <si>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</si>
  <si>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</si>
  <si>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</si>
  <si>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</si>
  <si>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</si>
  <si>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</si>
  <si>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</si>
  <si>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</si>
  <si>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</si>
  <si>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</si>
  <si>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</si>
  <si>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</si>
  <si>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</si>
  <si>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</si>
  <si>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</si>
  <si>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</si>
  <si>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</si>
  <si>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</si>
  <si>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</si>
  <si>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</si>
  <si>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</si>
  <si>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</si>
  <si>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</si>
  <si>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</si>
  <si>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</si>
  <si>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</si>
  <si>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</si>
  <si>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</si>
  <si>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</si>
  <si>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</si>
  <si>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</si>
  <si>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</si>
  <si>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</si>
  <si>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</si>
  <si>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</si>
  <si>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</si>
  <si>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</si>
  <si>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</si>
  <si>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</si>
  <si>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</si>
  <si>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</si>
  <si>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</si>
  <si>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</si>
  <si>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</si>
  <si>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</si>
  <si>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</si>
  <si>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</si>
  <si>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</si>
  <si>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</si>
  <si>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</si>
  <si>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</si>
  <si>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</si>
  <si>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</si>
  <si>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</si>
  <si>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</si>
  <si>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</si>
  <si>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</si>
  <si>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</si>
  <si>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</si>
  <si>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</si>
  <si>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</si>
  <si>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</si>
  <si>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</si>
  <si>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</si>
  <si>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</si>
  <si>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</si>
  <si>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</si>
  <si>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</si>
  <si>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</si>
  <si>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</si>
  <si>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</si>
  <si>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</si>
  <si>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</si>
  <si>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</si>
  <si>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</si>
  <si>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</si>
  <si>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</si>
  <si>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</si>
  <si>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</si>
  <si>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</si>
  <si>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</si>
  <si>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</si>
  <si>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</si>
  <si>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</si>
  <si>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</si>
  <si>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</si>
  <si>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</si>
  <si>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</si>
  <si>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</si>
  <si>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</si>
  <si>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</si>
  <si>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</si>
  <si>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</si>
  <si>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</si>
  <si>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</si>
  <si>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</si>
  <si>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</si>
  <si>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</si>
  <si>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</si>
  <si>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</si>
  <si>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</si>
  <si>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</si>
  <si>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</si>
  <si>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</si>
  <si>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</si>
  <si>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</si>
  <si>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</si>
  <si>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</si>
  <si>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</si>
  <si>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</si>
  <si>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</si>
  <si>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</si>
  <si>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</si>
  <si>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</si>
  <si>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</si>
  <si>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</si>
  <si>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</si>
  <si>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</si>
  <si>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</si>
  <si>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</si>
  <si>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</si>
  <si>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</si>
  <si>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</si>
  <si>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</si>
  <si>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</si>
  <si>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</si>
  <si>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</si>
  <si>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</si>
  <si>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</si>
  <si>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</si>
  <si>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</si>
  <si>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</si>
  <si>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</si>
  <si>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</si>
  <si>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</si>
  <si>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</si>
  <si>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</si>
  <si>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</si>
  <si>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</si>
  <si>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</si>
  <si>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</si>
  <si>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</si>
  <si>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</si>
  <si>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</si>
  <si>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</si>
  <si>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</si>
  <si>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</si>
  <si>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</si>
  <si>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</si>
  <si>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</si>
  <si>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</si>
  <si>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</si>
  <si>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</si>
  <si>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</si>
  <si>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</si>
  <si>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</si>
  <si>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</si>
  <si>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</si>
  <si>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</si>
  <si>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</si>
  <si>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</si>
  <si>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</si>
  <si>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</si>
  <si>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</si>
  <si>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</si>
  <si>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</si>
  <si>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</si>
  <si>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</si>
  <si>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</si>
  <si>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</si>
  <si>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</si>
  <si>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</si>
  <si>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</si>
  <si>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</si>
  <si>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</si>
  <si>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</si>
  <si>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</si>
  <si>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</si>
  <si>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</si>
  <si>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</si>
  <si>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</si>
  <si>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</si>
  <si>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</si>
  <si>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</si>
  <si>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</si>
  <si>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</si>
  <si>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</si>
  <si>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</si>
  <si>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</si>
  <si>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</si>
  <si>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</si>
  <si>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</si>
  <si>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</si>
  <si>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</si>
  <si>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</si>
  <si>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</si>
  <si>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</si>
  <si>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</si>
  <si>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</si>
  <si>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</si>
  <si>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</si>
  <si>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</si>
  <si>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</si>
  <si>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</si>
  <si>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</si>
  <si>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</si>
  <si>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</si>
  <si>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</si>
  <si>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</si>
  <si>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</si>
  <si>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</si>
  <si>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</si>
  <si>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</si>
  <si>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</si>
  <si>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</si>
  <si>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</si>
  <si>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</si>
  <si>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</si>
  <si>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</si>
  <si>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</si>
  <si>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</si>
  <si>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</si>
  <si>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</si>
  <si>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</si>
  <si>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</si>
  <si>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</si>
  <si>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</si>
  <si>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</si>
  <si>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</si>
  <si>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</si>
  <si>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</si>
  <si>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</si>
  <si>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</si>
  <si>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</si>
  <si>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</si>
  <si>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</si>
  <si>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</si>
  <si>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</si>
  <si>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</si>
  <si>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</si>
  <si>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</si>
  <si>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</si>
  <si>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</si>
  <si>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</si>
  <si>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</si>
  <si>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</si>
  <si>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</si>
  <si>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</si>
  <si>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</si>
  <si>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</si>
  <si>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</si>
  <si>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</si>
  <si>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</si>
  <si>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</si>
  <si>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</si>
  <si>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</si>
  <si>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</si>
  <si>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</si>
  <si>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</si>
  <si>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</si>
  <si>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</si>
  <si>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</si>
  <si>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</si>
  <si>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</si>
  <si>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</si>
  <si>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</si>
  <si>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</si>
  <si>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</si>
  <si>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</si>
  <si>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</si>
  <si>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</si>
  <si>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</si>
  <si>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</si>
  <si>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</si>
  <si>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</si>
  <si>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</si>
  <si>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</si>
  <si>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</si>
  <si>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</si>
  <si>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</si>
  <si>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</si>
  <si>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</si>
  <si>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</si>
  <si>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</si>
  <si>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</si>
  <si>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</si>
  <si>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</si>
  <si>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</si>
  <si>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</si>
  <si>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</si>
  <si>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</si>
  <si>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</si>
  <si>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</si>
  <si>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</si>
  <si>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</si>
  <si>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</si>
  <si>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</si>
  <si>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</si>
  <si>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</si>
  <si>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</si>
  <si>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</si>
  <si>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</si>
  <si>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</si>
  <si>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</si>
  <si>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</si>
  <si>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</si>
  <si>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</si>
  <si>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</si>
  <si>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</si>
  <si>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</si>
  <si>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</si>
  <si>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</si>
  <si>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</si>
  <si>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</si>
  <si>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</si>
  <si>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</si>
  <si>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</si>
  <si>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</si>
  <si>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</si>
  <si>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</si>
  <si>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</si>
  <si>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</si>
  <si>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</si>
  <si>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</si>
  <si>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</si>
  <si>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</si>
  <si>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</si>
  <si>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</si>
  <si>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</si>
  <si>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</si>
  <si>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</si>
  <si>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</si>
  <si>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</si>
  <si>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</si>
  <si>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</si>
  <si>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</si>
  <si>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</si>
  <si>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</si>
  <si>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</si>
  <si>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</si>
  <si>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</si>
  <si>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</si>
  <si>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</si>
  <si>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</si>
  <si>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</si>
  <si>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</si>
  <si>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</si>
  <si>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</si>
  <si>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</si>
  <si>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</si>
  <si>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</si>
  <si>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</si>
  <si>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</si>
  <si>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</si>
  <si>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</si>
  <si>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</si>
  <si>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</si>
  <si>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</si>
  <si>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</si>
  <si>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</si>
  <si>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</si>
  <si>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</si>
  <si>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</si>
  <si>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</si>
  <si>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</si>
  <si>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</si>
  <si>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</si>
  <si>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</si>
  <si>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</si>
  <si>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</si>
  <si>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</si>
  <si>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</si>
  <si>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</si>
  <si>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</si>
  <si>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</si>
  <si>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</si>
  <si>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</si>
  <si>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</si>
  <si>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</si>
  <si>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</si>
  <si>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</si>
  <si>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</si>
  <si>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</si>
  <si>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</si>
  <si>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</si>
  <si>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</si>
  <si>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</si>
  <si>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</si>
  <si>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</si>
  <si>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</si>
  <si>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</si>
  <si>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</si>
  <si>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</si>
  <si>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</si>
  <si>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</si>
  <si>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</si>
  <si>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</si>
  <si>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</si>
  <si>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</si>
  <si>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</si>
  <si>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</si>
  <si>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</si>
  <si>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</si>
  <si>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</si>
  <si>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</si>
  <si>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</si>
  <si>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</si>
  <si>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</si>
  <si>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</si>
  <si>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</si>
  <si>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</si>
  <si>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</si>
  <si>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</si>
  <si>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</si>
  <si>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</si>
  <si>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</si>
  <si>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</si>
  <si>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</si>
  <si>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</si>
  <si>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</si>
  <si>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</si>
  <si>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</si>
  <si>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</si>
  <si>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</si>
  <si>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</si>
  <si>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</si>
  <si>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</si>
  <si>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</si>
  <si>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</si>
  <si>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</si>
  <si>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</si>
  <si>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</si>
  <si>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</si>
  <si>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</si>
  <si>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</si>
  <si>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</si>
  <si>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</si>
  <si>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</si>
  <si>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</si>
  <si>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</si>
  <si>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</si>
  <si>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</si>
  <si>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</si>
  <si>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</si>
  <si>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</si>
  <si>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</si>
  <si>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</si>
  <si>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</si>
  <si>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</si>
  <si>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</si>
  <si>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</si>
  <si>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</si>
  <si>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</si>
  <si>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</si>
  <si>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</si>
  <si>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</si>
  <si>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</si>
  <si>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</si>
  <si>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</si>
  <si>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</si>
  <si>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</si>
  <si>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</si>
  <si>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</si>
  <si>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</si>
  <si>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</si>
  <si>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</si>
  <si>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</si>
  <si>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</si>
  <si>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</si>
  <si>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</si>
  <si>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</si>
  <si>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</si>
  <si>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</si>
  <si>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</si>
  <si>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</si>
  <si>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</si>
  <si>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</si>
  <si>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</si>
  <si>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</si>
  <si>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</si>
  <si>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</si>
  <si>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</si>
  <si>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</si>
  <si>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</si>
  <si>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</si>
  <si>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</si>
  <si>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</si>
  <si>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</si>
  <si>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</si>
  <si>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</si>
  <si>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</si>
  <si>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</si>
  <si>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</si>
  <si>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</si>
  <si>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</si>
  <si>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</si>
  <si>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</si>
  <si>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</si>
  <si>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</si>
  <si>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</si>
  <si>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</si>
  <si>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</si>
  <si>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</si>
  <si>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</si>
  <si>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</si>
  <si>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</si>
  <si>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</si>
  <si>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</si>
  <si>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</si>
  <si>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</si>
  <si>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</si>
  <si>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</si>
  <si>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</si>
  <si>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</si>
  <si>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</si>
  <si>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</si>
  <si>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</si>
  <si>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</si>
  <si>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</si>
  <si>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</si>
  <si>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</si>
  <si>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</si>
  <si>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</si>
  <si>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</si>
  <si>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</si>
  <si>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</si>
  <si>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</si>
  <si>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</si>
  <si>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</si>
  <si>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</si>
  <si>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</si>
  <si>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</si>
  <si>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</si>
  <si>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</si>
  <si>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</si>
  <si>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</si>
  <si>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</si>
  <si>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</si>
  <si>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</si>
  <si>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</si>
  <si>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</si>
  <si>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</si>
  <si>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</si>
  <si>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</si>
  <si>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</si>
  <si>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</si>
  <si>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</si>
  <si>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</si>
  <si>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</si>
  <si>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</si>
  <si>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</si>
  <si>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</si>
  <si>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</si>
  <si>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</si>
  <si>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</si>
  <si>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</si>
  <si>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</si>
  <si>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</si>
  <si>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</si>
  <si>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</si>
  <si>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</si>
  <si>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</si>
  <si>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</si>
  <si>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</si>
  <si>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</si>
  <si>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</si>
  <si>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</si>
  <si>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</si>
  <si>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</si>
  <si>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</si>
  <si>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</si>
  <si>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</si>
  <si>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</si>
  <si>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</si>
  <si>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</si>
  <si>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</si>
  <si>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</si>
  <si>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</si>
  <si>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</si>
  <si>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</si>
  <si>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</si>
  <si>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</si>
  <si>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</si>
  <si>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</si>
  <si>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</si>
  <si>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</si>
  <si>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</si>
  <si>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</si>
  <si>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</si>
  <si>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</si>
  <si>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</si>
  <si>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</si>
  <si>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</si>
  <si>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</si>
  <si>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</si>
  <si>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</si>
  <si>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</si>
  <si>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</si>
  <si>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</si>
  <si>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</si>
  <si>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</si>
  <si>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</si>
  <si>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</si>
  <si>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</si>
  <si>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</si>
  <si>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</si>
  <si>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</si>
  <si>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</si>
  <si>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</si>
  <si>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</si>
  <si>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</si>
  <si>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</si>
  <si>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</si>
  <si>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</si>
  <si>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</si>
  <si>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</si>
  <si>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</si>
  <si>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</si>
  <si>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</si>
  <si>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</si>
  <si>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</si>
  <si>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</si>
  <si>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</si>
  <si>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</si>
  <si>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</si>
  <si>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</si>
  <si>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</si>
  <si>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</si>
  <si>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</si>
  <si>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</si>
  <si>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</si>
  <si>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</si>
  <si>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</si>
  <si>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</si>
  <si>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</si>
  <si>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</si>
  <si>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</si>
  <si>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</si>
  <si>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</si>
  <si>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</si>
  <si>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</si>
  <si>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</si>
  <si>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</si>
  <si>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</si>
  <si>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</si>
  <si>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</si>
  <si>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</si>
  <si>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</si>
  <si>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</si>
  <si>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</si>
  <si>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</si>
  <si>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</si>
  <si>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</si>
  <si>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</si>
  <si>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</si>
  <si>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</si>
  <si>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</si>
  <si>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</si>
  <si>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</si>
  <si>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</si>
  <si>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</si>
  <si>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</si>
  <si>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</si>
  <si>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</si>
  <si>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</si>
  <si>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</si>
  <si>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</si>
  <si>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</si>
  <si>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</si>
  <si>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</si>
  <si>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</si>
  <si>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</si>
  <si>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</si>
  <si>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</si>
  <si>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</si>
  <si>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</si>
  <si>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</si>
  <si>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</si>
  <si>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</si>
  <si>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</si>
  <si>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</si>
  <si>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</si>
  <si>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</si>
  <si>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</si>
  <si>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</si>
  <si>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</si>
  <si>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</si>
  <si>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</si>
  <si>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</si>
  <si>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</si>
  <si>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</si>
  <si>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</si>
  <si>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</si>
  <si>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</si>
  <si>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</si>
  <si>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</si>
  <si>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</si>
  <si>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</si>
  <si>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</si>
  <si>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</si>
  <si>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</si>
  <si>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</si>
  <si>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</si>
  <si>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</si>
  <si>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</si>
  <si>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</si>
  <si>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</si>
  <si>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</si>
  <si>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</si>
  <si>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</si>
  <si>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</si>
  <si>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</si>
  <si>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</si>
  <si>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</si>
  <si>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</si>
  <si>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</si>
  <si>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</si>
  <si>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</si>
  <si>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</si>
  <si>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</si>
  <si>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</si>
  <si>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</si>
  <si>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</si>
  <si>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</si>
  <si>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</si>
  <si>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</si>
  <si>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</si>
  <si>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</si>
  <si>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</si>
  <si>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</si>
  <si>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</si>
  <si>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</si>
  <si>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</si>
  <si>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</si>
  <si>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</si>
  <si>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</si>
  <si>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</si>
  <si>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</si>
  <si>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</si>
  <si>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</si>
  <si>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</si>
  <si>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</si>
  <si>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</si>
  <si>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</si>
  <si>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</si>
  <si>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</si>
  <si>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</si>
  <si>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</si>
  <si>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</si>
  <si>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</si>
  <si>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</si>
  <si>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</si>
  <si>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</si>
  <si>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</si>
  <si>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</si>
  <si>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</si>
  <si>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</si>
  <si>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</si>
  <si>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</si>
  <si>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</si>
  <si>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</si>
  <si>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</si>
  <si>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</si>
  <si>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</si>
  <si>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</si>
  <si>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</si>
  <si>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</si>
  <si>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</si>
  <si>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</si>
  <si>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</si>
  <si>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</si>
  <si>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</si>
  <si>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</si>
  <si>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</si>
  <si>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</si>
  <si>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</si>
  <si>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</si>
  <si>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</si>
  <si>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</si>
  <si>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</si>
  <si>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</si>
  <si>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</si>
  <si>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</si>
  <si>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</si>
  <si>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</si>
  <si>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</si>
  <si>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</si>
  <si>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</si>
  <si>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</si>
  <si>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</si>
  <si>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</si>
  <si>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</si>
  <si>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</si>
  <si>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</si>
  <si>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</si>
  <si>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</si>
  <si>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</si>
  <si>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</si>
  <si>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</si>
  <si>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</si>
  <si>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</si>
  <si>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</si>
  <si>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</si>
  <si>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</si>
  <si>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</si>
  <si>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</si>
  <si>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</si>
  <si>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</si>
  <si>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</si>
  <si>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</si>
  <si>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</si>
  <si>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</si>
  <si>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</si>
  <si>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</si>
  <si>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</si>
  <si>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</si>
  <si>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</si>
  <si>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</si>
  <si>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</si>
  <si>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</si>
  <si>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</si>
  <si>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</si>
  <si>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</si>
  <si>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</si>
  <si>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</si>
  <si>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</si>
  <si>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</si>
  <si>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</si>
  <si>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</si>
  <si>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</si>
  <si>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</si>
  <si>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</si>
  <si>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</si>
  <si>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</si>
  <si>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</si>
  <si>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</si>
  <si>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</si>
  <si>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</si>
  <si>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</si>
  <si>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</si>
  <si>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</si>
  <si>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</si>
  <si>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</si>
  <si>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</si>
  <si>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</si>
  <si>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</si>
  <si>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</si>
  <si>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</si>
  <si>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</si>
  <si>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</si>
  <si>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</si>
  <si>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</si>
  <si>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</si>
  <si>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</si>
  <si>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</si>
  <si>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</si>
  <si>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</si>
  <si>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</si>
  <si>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</si>
  <si>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</si>
  <si>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</si>
  <si>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</si>
  <si>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</si>
  <si>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</si>
  <si>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</si>
  <si>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</si>
  <si>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</si>
  <si>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</si>
  <si>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</si>
  <si>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</si>
  <si>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</si>
  <si>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</si>
  <si>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</si>
  <si>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</si>
  <si>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</si>
  <si>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</si>
  <si>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</si>
  <si>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</si>
  <si>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</si>
  <si>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</si>
  <si>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</si>
  <si>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</si>
  <si>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</si>
  <si>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</si>
  <si>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</si>
  <si>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</si>
  <si>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</si>
  <si>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</si>
  <si>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</si>
  <si>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</si>
  <si>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</si>
  <si>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</si>
  <si>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</si>
  <si>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</si>
  <si>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</si>
  <si>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</si>
  <si>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</si>
  <si>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</si>
  <si>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</si>
  <si>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</si>
  <si>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</si>
  <si>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</si>
  <si>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</si>
  <si>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</si>
  <si>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</si>
  <si>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</si>
  <si>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</si>
  <si>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</si>
  <si>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</si>
  <si>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</si>
  <si>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</si>
  <si>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</si>
  <si>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</si>
  <si>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</si>
  <si>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</si>
  <si>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</si>
  <si>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</si>
  <si>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</si>
  <si>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</si>
  <si>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</si>
  <si>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</si>
  <si>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</si>
  <si>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</si>
  <si>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</si>
  <si>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</si>
  <si>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</si>
  <si>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</si>
  <si>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</si>
  <si>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</si>
  <si>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</si>
  <si>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</si>
  <si>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</si>
  <si>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</si>
  <si>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</si>
  <si>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</si>
  <si>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</si>
  <si>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</si>
  <si>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</si>
  <si>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</si>
  <si>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</si>
  <si>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</si>
  <si>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</si>
  <si>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</si>
  <si>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</si>
  <si>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</si>
  <si>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</si>
  <si>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</si>
  <si>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</si>
  <si>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</si>
  <si>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</si>
  <si>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</si>
  <si>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</si>
  <si>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</si>
  <si>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</si>
  <si>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</si>
  <si>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</si>
  <si>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</si>
  <si>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</si>
  <si>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</si>
  <si>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</si>
  <si>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</si>
  <si>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</si>
  <si>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</si>
  <si>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</si>
  <si>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</si>
  <si>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</si>
  <si>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</si>
  <si>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</si>
  <si>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</si>
  <si>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</si>
  <si>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</si>
  <si>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</si>
  <si>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</si>
  <si>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</si>
  <si>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</si>
  <si>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</si>
  <si>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</si>
  <si>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</si>
  <si>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</si>
  <si>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</si>
  <si>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</si>
  <si>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</si>
  <si>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</si>
  <si>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</si>
  <si>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</si>
  <si>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</si>
  <si>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</si>
  <si>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</si>
  <si>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</si>
  <si>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</si>
  <si>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</si>
  <si>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</si>
  <si>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</si>
  <si>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</si>
  <si>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</si>
  <si>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</si>
  <si>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</si>
  <si>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</si>
  <si>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</si>
  <si>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</si>
  <si>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</si>
  <si>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</si>
  <si>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</si>
  <si>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</si>
  <si>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</si>
  <si>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</si>
  <si>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</si>
  <si>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</si>
  <si>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</si>
  <si>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</si>
  <si>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</si>
  <si>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</si>
  <si>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</si>
  <si>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</si>
  <si>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</si>
  <si>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</si>
  <si>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</si>
  <si>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</si>
  <si>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</si>
  <si>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</si>
  <si>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</si>
  <si>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</si>
  <si>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</si>
  <si>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</si>
  <si>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</si>
  <si>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</si>
  <si>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</si>
  <si>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</si>
  <si>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</si>
  <si>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</si>
  <si>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</si>
  <si>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</si>
  <si>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</si>
  <si>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</si>
  <si>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</si>
  <si>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</si>
  <si>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</si>
  <si>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</si>
  <si>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</si>
  <si>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</si>
  <si>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</si>
  <si>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</si>
  <si>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</si>
  <si>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</si>
  <si>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</si>
  <si>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</si>
  <si>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</si>
  <si>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</si>
  <si>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</si>
  <si>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</si>
  <si>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</si>
  <si>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</si>
  <si>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</si>
  <si>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</si>
  <si>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</si>
  <si>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</si>
  <si>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</si>
  <si>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</si>
  <si>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</si>
  <si>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</si>
  <si>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</si>
  <si>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</si>
  <si>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</si>
  <si>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</si>
  <si>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</si>
  <si>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</si>
  <si>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</si>
  <si>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</si>
  <si>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</si>
  <si>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</si>
  <si>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</si>
  <si>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</si>
  <si>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</si>
  <si>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</si>
  <si>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</si>
  <si>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</si>
  <si>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</si>
  <si>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</si>
  <si>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</si>
  <si>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</si>
  <si>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</si>
  <si>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</si>
  <si>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</si>
  <si>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</si>
  <si>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</si>
  <si>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</si>
  <si>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</si>
  <si>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</si>
  <si>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</si>
  <si>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</si>
  <si>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</si>
  <si>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</si>
  <si>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</si>
  <si>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</si>
  <si>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</si>
  <si>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</si>
  <si>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</si>
  <si>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</si>
  <si>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</si>
  <si>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</si>
  <si>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</si>
  <si>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</si>
  <si>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</si>
  <si>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</si>
  <si>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</si>
  <si>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</si>
  <si>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</si>
  <si>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</si>
  <si>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</si>
  <si>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</si>
  <si>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</si>
  <si>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</si>
  <si>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SILAO DE LA VICTORIA</t>
  </si>
  <si>
    <t>Al 31 de diciembre de 2019 y al 30 de marzo de 2020 (b)</t>
  </si>
  <si>
    <t>Del 1 de enero al 30 de marzo de 2020 (b)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</si>
  <si>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</si>
  <si>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</si>
  <si>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</si>
  <si>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</si>
  <si>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</si>
  <si>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</si>
  <si>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</si>
  <si>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31111-0108  EVALUACIÓN Y SEGIMIENTO</t>
  </si>
  <si>
    <t>31111-0109  ATENCIÓN CIUDADANA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</si>
  <si>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</si>
  <si>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</si>
  <si>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</si>
  <si>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</si>
  <si>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</si>
  <si>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</si>
  <si>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31111-0207  DERECHOS HUMANOS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</si>
  <si>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</si>
  <si>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</si>
  <si>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</si>
  <si>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</si>
  <si>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</si>
  <si>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</si>
  <si>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</si>
  <si>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31111-0308  CATASTRO</t>
  </si>
  <si>
    <t>31111-0309  IMPUESTOS INMOBILIARIOS</t>
  </si>
  <si>
    <t>31111-0310  EJECUCIÓN FISCAL</t>
  </si>
  <si>
    <t>31111-0311  OFICIALIA MAYOR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</si>
  <si>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</si>
  <si>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</si>
  <si>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</si>
  <si>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</si>
  <si>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</si>
  <si>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</si>
  <si>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</si>
  <si>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</si>
  <si>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</si>
  <si>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</si>
  <si>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</si>
  <si>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31111-0602  SERVICIO MUNICIPAL DE EMPLEO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</si>
  <si>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</si>
  <si>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</si>
  <si>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</si>
  <si>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</si>
  <si>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</si>
  <si>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</si>
  <si>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</si>
  <si>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</si>
  <si>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</si>
  <si>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31111-1005  RECLUSORIO MUNICIPAL</t>
  </si>
  <si>
    <t>31111-1006  PROTECCION CIVIL</t>
  </si>
  <si>
    <t>31111-1007  CENTRAL DE EMERGECIAS 911</t>
  </si>
  <si>
    <t>31111-1101  OBRA PUBLICA</t>
  </si>
  <si>
    <t>31111-1201  CONTRALORIA MUNICIPAL</t>
  </si>
  <si>
    <t>31111-1301  INSTITUTO DE LA MUJER</t>
  </si>
  <si>
    <t>31111-1401  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</si>
</sst>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" fillId="0" borderId="13" xfId="1" applyFont="1" applyFill="1" applyBorder="1" applyProtection="1">
      <protection locked="0"/>
    </xf>
    <xf numFmtId="43" fontId="17" fillId="0" borderId="13" xfId="1" applyFont="1" applyFill="1" applyBorder="1" applyProtection="1"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7" fillId="0" borderId="13" xfId="1" applyFont="1" applyFill="1" applyBorder="1" applyAlignment="1" applyProtection="1">
      <alignment vertical="center"/>
      <protection locked="0"/>
    </xf>
    <xf numFmtId="43" fontId="17" fillId="0" borderId="12" xfId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Protection="1">
      <protection locked="0"/>
    </xf>
  </cellXfs>
  <cellStyles count="3">
    <cellStyle name="Millares" xfId="1" builtinId="3"/>
    <cellStyle name="Millares 2 2" xfId="2" xr:uid="{E0DCD61D-EEA1-4797-9972-2AD9F05548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8" t="s">
        <v>821</v>
      </c>
      <c r="B1" s="139"/>
      <c r="C1" s="139"/>
      <c r="D1" s="139"/>
      <c r="E1" s="140"/>
    </row>
    <row r="2" spans="1:5" s="7" customFormat="1" ht="14.25" x14ac:dyDescent="0.45">
      <c r="A2" s="24"/>
      <c r="E2" s="25"/>
    </row>
    <row r="3" spans="1:5" s="7" customFormat="1" ht="26.25" customHeight="1" x14ac:dyDescent="0.25">
      <c r="A3" s="24"/>
      <c r="B3" s="29" t="s">
        <v>784</v>
      </c>
      <c r="C3" s="141" t="s">
        <v>3294</v>
      </c>
      <c r="D3" s="141"/>
      <c r="E3" s="25"/>
    </row>
    <row r="4" spans="1:5" s="7" customFormat="1" ht="14.25" x14ac:dyDescent="0.45">
      <c r="A4" s="24"/>
      <c r="E4" s="25"/>
    </row>
    <row r="5" spans="1:5" s="7" customFormat="1" ht="26.25" customHeight="1" x14ac:dyDescent="0.45">
      <c r="A5" s="24"/>
      <c r="B5" s="29" t="s">
        <v>787</v>
      </c>
      <c r="E5" s="25"/>
    </row>
    <row r="6" spans="1:5" s="7" customFormat="1" ht="14.25" x14ac:dyDescent="0.45">
      <c r="A6" s="24"/>
      <c r="E6" s="25"/>
    </row>
    <row r="7" spans="1:5" s="7" customFormat="1" ht="26.25" customHeight="1" x14ac:dyDescent="0.45">
      <c r="A7" s="24"/>
      <c r="B7" s="29" t="s">
        <v>788</v>
      </c>
      <c r="E7" s="25"/>
    </row>
    <row r="8" spans="1:5" s="7" customFormat="1" ht="14.25" x14ac:dyDescent="0.45">
      <c r="A8" s="24"/>
      <c r="E8" s="25"/>
    </row>
    <row r="9" spans="1:5" s="7" customFormat="1" ht="26.25" customHeight="1" x14ac:dyDescent="0.25">
      <c r="A9" s="24"/>
      <c r="B9" s="29" t="s">
        <v>786</v>
      </c>
      <c r="E9" s="25"/>
    </row>
    <row r="10" spans="1:5" s="7" customFormat="1" ht="14.25" x14ac:dyDescent="0.45">
      <c r="A10" s="24"/>
      <c r="E10" s="25"/>
    </row>
    <row r="11" spans="1:5" s="7" customFormat="1" ht="26.25" customHeight="1" x14ac:dyDescent="0.45">
      <c r="A11" s="24"/>
      <c r="B11" s="29" t="s">
        <v>785</v>
      </c>
      <c r="E11" s="25"/>
    </row>
    <row r="12" spans="1:5" s="7" customFormat="1" ht="14.65" thickBot="1" x14ac:dyDescent="0.5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71" sqref="C7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0" customFormat="1" ht="37.5" customHeight="1" x14ac:dyDescent="0.45">
      <c r="A1" s="154" t="s">
        <v>534</v>
      </c>
      <c r="B1" s="154"/>
      <c r="C1" s="154"/>
      <c r="D1" s="154"/>
      <c r="E1" s="100"/>
      <c r="F1" s="100"/>
      <c r="G1" s="100"/>
      <c r="H1" s="100"/>
      <c r="I1" s="100"/>
      <c r="J1" s="100"/>
      <c r="K1" s="100"/>
    </row>
    <row r="2" spans="1:11" ht="14.25" x14ac:dyDescent="0.45">
      <c r="A2" s="142" t="str">
        <f>ENTE_PUBLICO_A</f>
        <v>MUNICIPIO DE SILAO DE LA VICTORIA, Gobierno del Estado de Guanajuato (a)</v>
      </c>
      <c r="B2" s="143"/>
      <c r="C2" s="143"/>
      <c r="D2" s="144"/>
    </row>
    <row r="3" spans="1:11" ht="14.25" x14ac:dyDescent="0.45">
      <c r="A3" s="145" t="s">
        <v>166</v>
      </c>
      <c r="B3" s="146"/>
      <c r="C3" s="146"/>
      <c r="D3" s="147"/>
    </row>
    <row r="4" spans="1:11" ht="14.25" x14ac:dyDescent="0.45">
      <c r="A4" s="148" t="str">
        <f>TRIMESTRE</f>
        <v>Del 1 de enero al 30 de marzo de 2020 (b)</v>
      </c>
      <c r="B4" s="149"/>
      <c r="C4" s="149"/>
      <c r="D4" s="150"/>
    </row>
    <row r="5" spans="1:11" ht="14.25" x14ac:dyDescent="0.45">
      <c r="A5" s="151" t="s">
        <v>118</v>
      </c>
      <c r="B5" s="152"/>
      <c r="C5" s="152"/>
      <c r="D5" s="153"/>
    </row>
    <row r="6" spans="1:11" ht="14.25" x14ac:dyDescent="0.45"/>
    <row r="7" spans="1:11" ht="39" customHeight="1" x14ac:dyDescent="0.45">
      <c r="A7" s="105" t="s">
        <v>0</v>
      </c>
      <c r="B7" s="43" t="s">
        <v>181</v>
      </c>
      <c r="C7" s="43" t="s">
        <v>167</v>
      </c>
      <c r="D7" s="43" t="s">
        <v>182</v>
      </c>
    </row>
    <row r="8" spans="1:11" x14ac:dyDescent="0.25">
      <c r="A8" s="53" t="s">
        <v>168</v>
      </c>
      <c r="B8" s="181">
        <f>SUM(B9:B11)</f>
        <v>586577527.12</v>
      </c>
      <c r="C8" s="181">
        <f t="shared" ref="C8:D8" si="0">SUM(C9:C11)</f>
        <v>220029569.13</v>
      </c>
      <c r="D8" s="181">
        <f t="shared" si="0"/>
        <v>220029569.13</v>
      </c>
    </row>
    <row r="9" spans="1:11" x14ac:dyDescent="0.25">
      <c r="A9" s="51" t="s">
        <v>169</v>
      </c>
      <c r="B9" s="182">
        <v>378661542.12</v>
      </c>
      <c r="C9" s="182">
        <v>161910545.09</v>
      </c>
      <c r="D9" s="182">
        <v>161910545.09</v>
      </c>
    </row>
    <row r="10" spans="1:11" x14ac:dyDescent="0.25">
      <c r="A10" s="51" t="s">
        <v>170</v>
      </c>
      <c r="B10" s="182">
        <v>211659985</v>
      </c>
      <c r="C10" s="182">
        <v>59055024.039999999</v>
      </c>
      <c r="D10" s="182">
        <v>59055024.039999999</v>
      </c>
    </row>
    <row r="11" spans="1:11" x14ac:dyDescent="0.25">
      <c r="A11" s="51" t="s">
        <v>171</v>
      </c>
      <c r="B11" s="181">
        <f>B44</f>
        <v>-3744000</v>
      </c>
      <c r="C11" s="181">
        <f t="shared" ref="C11" si="1">C44</f>
        <v>-936000</v>
      </c>
      <c r="D11" s="181">
        <f>D44</f>
        <v>-936000</v>
      </c>
    </row>
    <row r="12" spans="1:11" ht="14.25" x14ac:dyDescent="0.45">
      <c r="A12" s="84"/>
      <c r="B12" s="12"/>
      <c r="C12" s="12"/>
      <c r="D12" s="12"/>
    </row>
    <row r="13" spans="1:11" ht="14.25" x14ac:dyDescent="0.45">
      <c r="A13" s="53" t="s">
        <v>180</v>
      </c>
      <c r="B13" s="181">
        <f>B14+B15</f>
        <v>594106494.12</v>
      </c>
      <c r="C13" s="181">
        <f t="shared" ref="C13:D13" si="2">C14+C15</f>
        <v>153814246.32999998</v>
      </c>
      <c r="D13" s="181">
        <f t="shared" si="2"/>
        <v>149179920.06</v>
      </c>
    </row>
    <row r="14" spans="1:11" x14ac:dyDescent="0.25">
      <c r="A14" s="51" t="s">
        <v>172</v>
      </c>
      <c r="B14" s="182">
        <v>382446509.12</v>
      </c>
      <c r="C14" s="182">
        <v>100222642.55</v>
      </c>
      <c r="D14" s="182">
        <v>95914633.079999998</v>
      </c>
    </row>
    <row r="15" spans="1:11" x14ac:dyDescent="0.25">
      <c r="A15" s="51" t="s">
        <v>173</v>
      </c>
      <c r="B15" s="182">
        <v>211659985</v>
      </c>
      <c r="C15" s="182">
        <v>53591603.780000001</v>
      </c>
      <c r="D15" s="182">
        <v>53265286.979999997</v>
      </c>
    </row>
    <row r="16" spans="1:11" ht="14.25" x14ac:dyDescent="0.45">
      <c r="A16" s="84"/>
      <c r="B16" s="12"/>
      <c r="C16" s="12"/>
      <c r="D16" s="12"/>
    </row>
    <row r="17" spans="1:4" ht="14.25" x14ac:dyDescent="0.45">
      <c r="A17" s="53" t="s">
        <v>174</v>
      </c>
      <c r="B17" s="106">
        <f>B18+B19</f>
        <v>0</v>
      </c>
      <c r="C17" s="181">
        <f t="shared" ref="C17" si="3">C18+C19</f>
        <v>0</v>
      </c>
      <c r="D17" s="181">
        <f>D18+D19</f>
        <v>0</v>
      </c>
    </row>
    <row r="18" spans="1:4" x14ac:dyDescent="0.25">
      <c r="A18" s="51" t="s">
        <v>175</v>
      </c>
      <c r="B18" s="107">
        <v>0</v>
      </c>
      <c r="C18" s="182">
        <v>0</v>
      </c>
      <c r="D18" s="182">
        <v>0</v>
      </c>
    </row>
    <row r="19" spans="1:4" x14ac:dyDescent="0.25">
      <c r="A19" s="51" t="s">
        <v>176</v>
      </c>
      <c r="B19" s="107">
        <v>0</v>
      </c>
      <c r="C19" s="182">
        <v>0</v>
      </c>
      <c r="D19" s="182">
        <v>0</v>
      </c>
    </row>
    <row r="20" spans="1:4" ht="14.25" x14ac:dyDescent="0.45">
      <c r="A20" s="84"/>
      <c r="B20" s="12"/>
      <c r="C20" s="12"/>
      <c r="D20" s="12"/>
    </row>
    <row r="21" spans="1:4" x14ac:dyDescent="0.25">
      <c r="A21" s="53" t="s">
        <v>177</v>
      </c>
      <c r="B21" s="181">
        <f>B8-B13+B17</f>
        <v>-7528967</v>
      </c>
      <c r="C21" s="181">
        <f t="shared" ref="C21:D21" si="4">C8-C13+C17</f>
        <v>66215322.800000012</v>
      </c>
      <c r="D21" s="181">
        <f t="shared" si="4"/>
        <v>70849649.069999993</v>
      </c>
    </row>
    <row r="22" spans="1:4" ht="14.25" x14ac:dyDescent="0.45">
      <c r="A22" s="53"/>
      <c r="B22" s="12"/>
      <c r="C22" s="12"/>
      <c r="D22" s="12"/>
    </row>
    <row r="23" spans="1:4" ht="14.25" x14ac:dyDescent="0.45">
      <c r="A23" s="53" t="s">
        <v>178</v>
      </c>
      <c r="B23" s="181">
        <f>B21-B11</f>
        <v>-3784967</v>
      </c>
      <c r="C23" s="181">
        <f t="shared" ref="C23:D23" si="5">C21-C11</f>
        <v>67151322.800000012</v>
      </c>
      <c r="D23" s="181">
        <f t="shared" si="5"/>
        <v>71785649.069999993</v>
      </c>
    </row>
    <row r="24" spans="1:4" ht="14.25" x14ac:dyDescent="0.45">
      <c r="A24" s="53"/>
      <c r="B24" s="17"/>
      <c r="C24" s="17"/>
      <c r="D24" s="17"/>
    </row>
    <row r="25" spans="1:4" ht="14.25" x14ac:dyDescent="0.45">
      <c r="A25" s="108" t="s">
        <v>179</v>
      </c>
      <c r="B25" s="181">
        <f>B23-B17</f>
        <v>-3784967</v>
      </c>
      <c r="C25" s="181">
        <f t="shared" ref="C25" si="6">C23-C17</f>
        <v>67151322.800000012</v>
      </c>
      <c r="D25" s="181">
        <f>D23-D17</f>
        <v>71785649.069999993</v>
      </c>
    </row>
    <row r="26" spans="1:4" ht="14.25" x14ac:dyDescent="0.45">
      <c r="A26" s="109"/>
      <c r="B26" s="13"/>
      <c r="C26" s="13"/>
      <c r="D26" s="13"/>
    </row>
    <row r="27" spans="1:4" ht="14.25" x14ac:dyDescent="0.45">
      <c r="A27" s="79"/>
    </row>
    <row r="28" spans="1:4" ht="30" customHeight="1" x14ac:dyDescent="0.45">
      <c r="A28" s="105" t="s">
        <v>183</v>
      </c>
      <c r="B28" s="43" t="s">
        <v>184</v>
      </c>
      <c r="C28" s="43" t="s">
        <v>167</v>
      </c>
      <c r="D28" s="43" t="s">
        <v>185</v>
      </c>
    </row>
    <row r="29" spans="1:4" x14ac:dyDescent="0.25">
      <c r="A29" s="53" t="s">
        <v>186</v>
      </c>
      <c r="B29" s="183">
        <f>B30+B31</f>
        <v>1845212.2</v>
      </c>
      <c r="C29" s="183">
        <f t="shared" ref="C29:D29" si="7">C30+C31</f>
        <v>344594.08</v>
      </c>
      <c r="D29" s="183">
        <f t="shared" si="7"/>
        <v>344594.08</v>
      </c>
    </row>
    <row r="30" spans="1:4" x14ac:dyDescent="0.25">
      <c r="A30" s="51" t="s">
        <v>187</v>
      </c>
      <c r="B30" s="184">
        <v>0</v>
      </c>
      <c r="C30" s="184">
        <v>0</v>
      </c>
      <c r="D30" s="184">
        <v>0</v>
      </c>
    </row>
    <row r="31" spans="1:4" x14ac:dyDescent="0.25">
      <c r="A31" s="51" t="s">
        <v>188</v>
      </c>
      <c r="B31" s="184">
        <v>1845212.2</v>
      </c>
      <c r="C31" s="184">
        <v>344594.08</v>
      </c>
      <c r="D31" s="184">
        <v>344594.08</v>
      </c>
    </row>
    <row r="32" spans="1:4" ht="14.25" x14ac:dyDescent="0.45">
      <c r="A32" s="52"/>
      <c r="B32" s="52"/>
      <c r="C32" s="52"/>
      <c r="D32" s="52"/>
    </row>
    <row r="33" spans="1:4" x14ac:dyDescent="0.25">
      <c r="A33" s="53" t="s">
        <v>189</v>
      </c>
      <c r="B33" s="183">
        <f>B25+B29</f>
        <v>-1939754.8</v>
      </c>
      <c r="C33" s="183">
        <f t="shared" ref="C33:D33" si="8">C25+C29</f>
        <v>67495916.88000001</v>
      </c>
      <c r="D33" s="183">
        <f t="shared" si="8"/>
        <v>72130243.149999991</v>
      </c>
    </row>
    <row r="34" spans="1:4" ht="14.25" x14ac:dyDescent="0.45">
      <c r="A34" s="56"/>
      <c r="B34" s="56"/>
      <c r="C34" s="56"/>
      <c r="D34" s="56"/>
    </row>
    <row r="35" spans="1:4" x14ac:dyDescent="0.25">
      <c r="A35" s="79"/>
    </row>
    <row r="36" spans="1:4" ht="30" x14ac:dyDescent="0.25">
      <c r="A36" s="105" t="s">
        <v>183</v>
      </c>
      <c r="B36" s="43" t="s">
        <v>190</v>
      </c>
      <c r="C36" s="43" t="s">
        <v>167</v>
      </c>
      <c r="D36" s="43" t="s">
        <v>182</v>
      </c>
    </row>
    <row r="37" spans="1:4" x14ac:dyDescent="0.25">
      <c r="A37" s="53" t="s">
        <v>191</v>
      </c>
      <c r="B37" s="183">
        <f>B38+B39</f>
        <v>0</v>
      </c>
      <c r="C37" s="183">
        <f t="shared" ref="C37:D37" si="9">C38+C39</f>
        <v>0</v>
      </c>
      <c r="D37" s="183">
        <f t="shared" si="9"/>
        <v>0</v>
      </c>
    </row>
    <row r="38" spans="1:4" x14ac:dyDescent="0.25">
      <c r="A38" s="51" t="s">
        <v>192</v>
      </c>
      <c r="B38" s="184">
        <v>0</v>
      </c>
      <c r="C38" s="184">
        <v>0</v>
      </c>
      <c r="D38" s="184">
        <v>0</v>
      </c>
    </row>
    <row r="39" spans="1:4" x14ac:dyDescent="0.25">
      <c r="A39" s="51" t="s">
        <v>193</v>
      </c>
      <c r="B39" s="184">
        <v>0</v>
      </c>
      <c r="C39" s="184">
        <v>0</v>
      </c>
      <c r="D39" s="184">
        <v>0</v>
      </c>
    </row>
    <row r="40" spans="1:4" x14ac:dyDescent="0.25">
      <c r="A40" s="53" t="s">
        <v>194</v>
      </c>
      <c r="B40" s="183">
        <f>B41+B42</f>
        <v>3744000</v>
      </c>
      <c r="C40" s="183">
        <f t="shared" ref="C40:D40" si="10">C41+C42</f>
        <v>936000</v>
      </c>
      <c r="D40" s="183">
        <f t="shared" si="10"/>
        <v>936000</v>
      </c>
    </row>
    <row r="41" spans="1:4" x14ac:dyDescent="0.25">
      <c r="A41" s="51" t="s">
        <v>195</v>
      </c>
      <c r="B41" s="184">
        <v>0</v>
      </c>
      <c r="C41" s="184">
        <v>0</v>
      </c>
      <c r="D41" s="184">
        <v>0</v>
      </c>
    </row>
    <row r="42" spans="1:4" x14ac:dyDescent="0.25">
      <c r="A42" s="51" t="s">
        <v>196</v>
      </c>
      <c r="B42" s="184">
        <v>3744000</v>
      </c>
      <c r="C42" s="184">
        <v>936000</v>
      </c>
      <c r="D42" s="184">
        <v>936000</v>
      </c>
    </row>
    <row r="43" spans="1:4" x14ac:dyDescent="0.25">
      <c r="A43" s="52"/>
      <c r="B43" s="52"/>
      <c r="C43" s="52"/>
      <c r="D43" s="52"/>
    </row>
    <row r="44" spans="1:4" x14ac:dyDescent="0.25">
      <c r="A44" s="53" t="s">
        <v>197</v>
      </c>
      <c r="B44" s="183">
        <f>B37-B40</f>
        <v>-3744000</v>
      </c>
      <c r="C44" s="183">
        <f t="shared" ref="C44:D44" si="11">C37-C40</f>
        <v>-936000</v>
      </c>
      <c r="D44" s="183">
        <f t="shared" si="11"/>
        <v>-936000</v>
      </c>
    </row>
    <row r="45" spans="1:4" x14ac:dyDescent="0.25">
      <c r="A45" s="129"/>
      <c r="B45" s="56"/>
      <c r="C45" s="56"/>
      <c r="D45" s="56"/>
    </row>
    <row r="46" spans="1:4" x14ac:dyDescent="0.25"/>
    <row r="47" spans="1:4" ht="30" x14ac:dyDescent="0.25">
      <c r="A47" s="105" t="s">
        <v>183</v>
      </c>
      <c r="B47" s="43" t="s">
        <v>190</v>
      </c>
      <c r="C47" s="43" t="s">
        <v>167</v>
      </c>
      <c r="D47" s="43" t="s">
        <v>182</v>
      </c>
    </row>
    <row r="48" spans="1:4" x14ac:dyDescent="0.25">
      <c r="A48" s="112" t="s">
        <v>198</v>
      </c>
      <c r="B48" s="185">
        <f>B9</f>
        <v>378661542.12</v>
      </c>
      <c r="C48" s="185">
        <f>C9</f>
        <v>161910545.09</v>
      </c>
      <c r="D48" s="185">
        <f t="shared" ref="D48" si="12">D9</f>
        <v>161910545.09</v>
      </c>
    </row>
    <row r="49" spans="1:4" x14ac:dyDescent="0.25">
      <c r="A49" s="113" t="s">
        <v>199</v>
      </c>
      <c r="B49" s="181">
        <f>B50-B51</f>
        <v>0</v>
      </c>
      <c r="C49" s="181">
        <f t="shared" ref="C49:D49" si="13">C50-C51</f>
        <v>0</v>
      </c>
      <c r="D49" s="181">
        <f t="shared" si="13"/>
        <v>0</v>
      </c>
    </row>
    <row r="50" spans="1:4" x14ac:dyDescent="0.25">
      <c r="A50" s="114" t="s">
        <v>192</v>
      </c>
      <c r="B50" s="182">
        <v>0</v>
      </c>
      <c r="C50" s="182">
        <v>0</v>
      </c>
      <c r="D50" s="182">
        <v>0</v>
      </c>
    </row>
    <row r="51" spans="1:4" x14ac:dyDescent="0.25">
      <c r="A51" s="114" t="s">
        <v>195</v>
      </c>
      <c r="B51" s="182">
        <v>0</v>
      </c>
      <c r="C51" s="182">
        <v>0</v>
      </c>
      <c r="D51" s="182">
        <v>0</v>
      </c>
    </row>
    <row r="52" spans="1:4" x14ac:dyDescent="0.25">
      <c r="A52" s="52"/>
      <c r="B52" s="52"/>
      <c r="C52" s="52"/>
      <c r="D52" s="52"/>
    </row>
    <row r="53" spans="1:4" x14ac:dyDescent="0.25">
      <c r="A53" s="51" t="s">
        <v>172</v>
      </c>
      <c r="B53" s="184">
        <f>B14</f>
        <v>382446509.12</v>
      </c>
      <c r="C53" s="184">
        <f t="shared" ref="C53:D53" si="14">C14</f>
        <v>100222642.55</v>
      </c>
      <c r="D53" s="184">
        <f t="shared" si="14"/>
        <v>95914633.079999998</v>
      </c>
    </row>
    <row r="54" spans="1:4" x14ac:dyDescent="0.25">
      <c r="A54" s="52"/>
      <c r="B54" s="52"/>
      <c r="C54" s="52"/>
      <c r="D54" s="52"/>
    </row>
    <row r="55" spans="1:4" x14ac:dyDescent="0.25">
      <c r="A55" s="51" t="s">
        <v>175</v>
      </c>
      <c r="B55" s="111">
        <f>B18</f>
        <v>0</v>
      </c>
      <c r="C55" s="182">
        <f t="shared" ref="C55:D55" si="15">C18</f>
        <v>0</v>
      </c>
      <c r="D55" s="182">
        <f t="shared" si="15"/>
        <v>0</v>
      </c>
    </row>
    <row r="56" spans="1:4" x14ac:dyDescent="0.25">
      <c r="A56" s="52"/>
      <c r="B56" s="52"/>
      <c r="C56" s="52"/>
      <c r="D56" s="52"/>
    </row>
    <row r="57" spans="1:4" ht="32.25" customHeight="1" x14ac:dyDescent="0.25">
      <c r="A57" s="108" t="s">
        <v>201</v>
      </c>
      <c r="B57" s="183">
        <f>B48+B49-B53+B55</f>
        <v>-3784967</v>
      </c>
      <c r="C57" s="183">
        <f>C48+C49-C53+C55</f>
        <v>61687902.540000007</v>
      </c>
      <c r="D57" s="183">
        <f t="shared" ref="D57" si="16">D48+D49-D53+D55</f>
        <v>65995912.010000005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108" t="s">
        <v>200</v>
      </c>
      <c r="B59" s="183">
        <f>B57-B49</f>
        <v>-3784967</v>
      </c>
      <c r="C59" s="183">
        <f t="shared" ref="C59:D59" si="17">C57-C49</f>
        <v>61687902.540000007</v>
      </c>
      <c r="D59" s="183">
        <f t="shared" si="17"/>
        <v>65995912.010000005</v>
      </c>
    </row>
    <row r="60" spans="1:4" x14ac:dyDescent="0.25">
      <c r="A60" s="56"/>
      <c r="B60" s="56"/>
      <c r="C60" s="56"/>
      <c r="D60" s="56"/>
    </row>
    <row r="61" spans="1:4" x14ac:dyDescent="0.25"/>
    <row r="62" spans="1:4" ht="30" x14ac:dyDescent="0.25">
      <c r="A62" s="105" t="s">
        <v>183</v>
      </c>
      <c r="B62" s="43" t="s">
        <v>190</v>
      </c>
      <c r="C62" s="43" t="s">
        <v>167</v>
      </c>
      <c r="D62" s="43" t="s">
        <v>182</v>
      </c>
    </row>
    <row r="63" spans="1:4" x14ac:dyDescent="0.25">
      <c r="A63" s="112" t="s">
        <v>170</v>
      </c>
      <c r="B63" s="186">
        <f>B10</f>
        <v>211659985</v>
      </c>
      <c r="C63" s="186">
        <f t="shared" ref="C63:D63" si="18">C10</f>
        <v>59055024.039999999</v>
      </c>
      <c r="D63" s="186">
        <f t="shared" si="18"/>
        <v>59055024.039999999</v>
      </c>
    </row>
    <row r="64" spans="1:4" ht="30" x14ac:dyDescent="0.25">
      <c r="A64" s="113" t="s">
        <v>202</v>
      </c>
      <c r="B64" s="181">
        <f>B65-B66</f>
        <v>-3744000</v>
      </c>
      <c r="C64" s="181">
        <f t="shared" ref="C64:D64" si="19">C65-C66</f>
        <v>-936000</v>
      </c>
      <c r="D64" s="181">
        <f t="shared" si="19"/>
        <v>-936000</v>
      </c>
    </row>
    <row r="65" spans="1:4" x14ac:dyDescent="0.25">
      <c r="A65" s="114" t="s">
        <v>193</v>
      </c>
      <c r="B65" s="181">
        <v>0</v>
      </c>
      <c r="C65" s="181">
        <v>0</v>
      </c>
      <c r="D65" s="181">
        <v>0</v>
      </c>
    </row>
    <row r="66" spans="1:4" x14ac:dyDescent="0.25">
      <c r="A66" s="114" t="s">
        <v>196</v>
      </c>
      <c r="B66" s="182">
        <v>3744000</v>
      </c>
      <c r="C66" s="182">
        <v>936000</v>
      </c>
      <c r="D66" s="182">
        <v>936000</v>
      </c>
    </row>
    <row r="67" spans="1:4" x14ac:dyDescent="0.25">
      <c r="A67" s="52"/>
      <c r="B67" s="12"/>
      <c r="C67" s="12"/>
      <c r="D67" s="12"/>
    </row>
    <row r="68" spans="1:4" x14ac:dyDescent="0.25">
      <c r="A68" s="51" t="s">
        <v>203</v>
      </c>
      <c r="B68" s="182">
        <f>B15</f>
        <v>211659985</v>
      </c>
      <c r="C68" s="182">
        <f t="shared" ref="C68:D68" si="20">C15</f>
        <v>53591603.780000001</v>
      </c>
      <c r="D68" s="182">
        <f t="shared" si="20"/>
        <v>53265286.979999997</v>
      </c>
    </row>
    <row r="69" spans="1:4" x14ac:dyDescent="0.25">
      <c r="A69" s="52"/>
      <c r="B69" s="12"/>
      <c r="C69" s="12"/>
      <c r="D69" s="12"/>
    </row>
    <row r="70" spans="1:4" x14ac:dyDescent="0.25">
      <c r="A70" s="51" t="s">
        <v>176</v>
      </c>
      <c r="B70" s="110">
        <f>B19</f>
        <v>0</v>
      </c>
      <c r="C70" s="181">
        <f t="shared" ref="C70:D70" si="21">C19</f>
        <v>0</v>
      </c>
      <c r="D70" s="181">
        <f t="shared" si="21"/>
        <v>0</v>
      </c>
    </row>
    <row r="71" spans="1:4" x14ac:dyDescent="0.25">
      <c r="A71" s="52"/>
      <c r="B71" s="12"/>
      <c r="C71" s="12"/>
      <c r="D71" s="12"/>
    </row>
    <row r="72" spans="1:4" ht="30" customHeight="1" x14ac:dyDescent="0.25">
      <c r="A72" s="108" t="s">
        <v>205</v>
      </c>
      <c r="B72" s="181">
        <f>B63+B64-B68+B70</f>
        <v>-3744000</v>
      </c>
      <c r="C72" s="181">
        <f t="shared" ref="C72:D72" si="22">C63+C64-C68+C70</f>
        <v>4527420.2599999979</v>
      </c>
      <c r="D72" s="181">
        <f t="shared" si="22"/>
        <v>4853737.0600000024</v>
      </c>
    </row>
    <row r="73" spans="1:4" x14ac:dyDescent="0.25">
      <c r="A73" s="52"/>
      <c r="B73" s="12"/>
      <c r="C73" s="12"/>
      <c r="D73" s="12"/>
    </row>
    <row r="74" spans="1:4" ht="30" customHeight="1" x14ac:dyDescent="0.25">
      <c r="A74" s="108" t="s">
        <v>204</v>
      </c>
      <c r="B74" s="181">
        <f>B72-B64</f>
        <v>0</v>
      </c>
      <c r="C74" s="181">
        <f>C72-C64</f>
        <v>5463420.2599999979</v>
      </c>
      <c r="D74" s="181">
        <f t="shared" ref="D74" si="23">D72-D64</f>
        <v>5789737.0600000024</v>
      </c>
    </row>
    <row r="75" spans="1:4" x14ac:dyDescent="0.25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35" right="0.25" top="0.54" bottom="0.28000000000000003" header="0.31496062992125984" footer="0.17"/>
  <pageSetup scale="5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586577527.12</v>
      </c>
      <c r="Q2" s="18">
        <f>'Formato 4'!C8</f>
        <v>220029569.13</v>
      </c>
      <c r="R2" s="18">
        <f>'Formato 4'!D8</f>
        <v>220029569.13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378661542.12</v>
      </c>
      <c r="Q3" s="18">
        <f>'Formato 4'!C9</f>
        <v>161910545.09</v>
      </c>
      <c r="R3" s="18">
        <f>'Formato 4'!D9</f>
        <v>161910545.09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211659985</v>
      </c>
      <c r="Q4" s="18">
        <f>'Formato 4'!C10</f>
        <v>59055024.039999999</v>
      </c>
      <c r="R4" s="18">
        <f>'Formato 4'!D10</f>
        <v>59055024.039999999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-3744000</v>
      </c>
      <c r="Q5" s="18">
        <f>'Formato 4'!C11</f>
        <v>-936000</v>
      </c>
      <c r="R5" s="18">
        <f>'Formato 4'!D11</f>
        <v>-936000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594106494.12</v>
      </c>
      <c r="Q6" s="18">
        <f>'Formato 4'!C13</f>
        <v>153814246.32999998</v>
      </c>
      <c r="R6" s="18">
        <f>'Formato 4'!D13</f>
        <v>149179920.06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382446509.12</v>
      </c>
      <c r="Q7" s="18">
        <f>'Formato 4'!C14</f>
        <v>100222642.55</v>
      </c>
      <c r="R7" s="18">
        <f>'Formato 4'!D14</f>
        <v>95914633.079999998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211659985</v>
      </c>
      <c r="Q8" s="18">
        <f>'Formato 4'!C15</f>
        <v>53591603.780000001</v>
      </c>
      <c r="R8" s="18">
        <f>'Formato 4'!D15</f>
        <v>53265286.979999997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-7528967</v>
      </c>
      <c r="Q12" s="18">
        <f>'Formato 4'!C21</f>
        <v>66215322.800000012</v>
      </c>
      <c r="R12" s="18">
        <f>'Formato 4'!D21</f>
        <v>70849649.069999993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-3784967</v>
      </c>
      <c r="Q13" s="18">
        <f>'Formato 4'!C23</f>
        <v>67151322.800000012</v>
      </c>
      <c r="R13" s="18">
        <f>'Formato 4'!D23</f>
        <v>71785649.069999993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-3784967</v>
      </c>
      <c r="Q14" s="18">
        <f>'Formato 4'!C25</f>
        <v>67151322.800000012</v>
      </c>
      <c r="R14" s="18">
        <f>'Formato 4'!D25</f>
        <v>71785649.069999993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1845212.2</v>
      </c>
      <c r="Q15">
        <f>'Formato 4'!C29</f>
        <v>344594.08</v>
      </c>
      <c r="R15">
        <f>'Formato 4'!D29</f>
        <v>344594.08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1845212.2</v>
      </c>
      <c r="Q17">
        <f>'Formato 4'!C31</f>
        <v>344594.08</v>
      </c>
      <c r="R17">
        <f>'Formato 4'!D31</f>
        <v>344594.08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-1939754.8</v>
      </c>
      <c r="Q18">
        <f>'Formato 4'!C33</f>
        <v>67495916.88000001</v>
      </c>
      <c r="R18">
        <f>'Formato 4'!D33</f>
        <v>72130243.149999991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3744000</v>
      </c>
      <c r="Q22">
        <f>'Formato 4'!C40</f>
        <v>936000</v>
      </c>
      <c r="R22">
        <f>'Formato 4'!D40</f>
        <v>936000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3744000</v>
      </c>
      <c r="Q24">
        <f>'Formato 4'!C42</f>
        <v>936000</v>
      </c>
      <c r="R24">
        <f>'Formato 4'!D42</f>
        <v>936000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-3744000</v>
      </c>
      <c r="Q25">
        <f>'Formato 4'!C44</f>
        <v>-936000</v>
      </c>
      <c r="R25">
        <f>'Formato 4'!D44</f>
        <v>-936000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378661542.12</v>
      </c>
      <c r="Q26">
        <f>'Formato 4'!C48</f>
        <v>161910545.09</v>
      </c>
      <c r="R26">
        <f>'Formato 4'!D48</f>
        <v>161910545.09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382446509.12</v>
      </c>
      <c r="Q30">
        <f>'Formato 4'!C53</f>
        <v>100222642.55</v>
      </c>
      <c r="R30">
        <f>'Formato 4'!D53</f>
        <v>95914633.079999998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211659985</v>
      </c>
      <c r="Q32">
        <f>'Formato 4'!C63</f>
        <v>59055024.039999999</v>
      </c>
      <c r="R32">
        <f>'Formato 4'!D63</f>
        <v>59055024.039999999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-3744000</v>
      </c>
      <c r="Q33">
        <f>'Formato 4'!C64</f>
        <v>-936000</v>
      </c>
      <c r="R33">
        <f>'Formato 4'!D64</f>
        <v>-936000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3744000</v>
      </c>
      <c r="Q35">
        <f>'Formato 4'!C66</f>
        <v>936000</v>
      </c>
      <c r="R35">
        <f>'Formato 4'!D66</f>
        <v>936000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211659985</v>
      </c>
      <c r="Q36">
        <f>'Formato 4'!C68</f>
        <v>53591603.780000001</v>
      </c>
      <c r="R36">
        <f>'Formato 4'!D68</f>
        <v>53265286.979999997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-3744000</v>
      </c>
      <c r="Q38">
        <f>'Formato 4'!C72</f>
        <v>4527420.2599999979</v>
      </c>
      <c r="R38">
        <f>'Formato 4'!D72</f>
        <v>4853737.0600000024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5463420.2599999979</v>
      </c>
      <c r="R39">
        <f>'Formato 4'!D74</f>
        <v>5789737.0600000024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0" customFormat="1" ht="37.5" customHeight="1" x14ac:dyDescent="0.25">
      <c r="A1" s="160" t="s">
        <v>206</v>
      </c>
      <c r="B1" s="160"/>
      <c r="C1" s="160"/>
      <c r="D1" s="160"/>
      <c r="E1" s="160"/>
      <c r="F1" s="160"/>
      <c r="G1" s="160"/>
    </row>
    <row r="2" spans="1:8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8" x14ac:dyDescent="0.25">
      <c r="A3" s="145" t="s">
        <v>207</v>
      </c>
      <c r="B3" s="146"/>
      <c r="C3" s="146"/>
      <c r="D3" s="146"/>
      <c r="E3" s="146"/>
      <c r="F3" s="146"/>
      <c r="G3" s="147"/>
    </row>
    <row r="4" spans="1:8" ht="14.25" x14ac:dyDescent="0.45">
      <c r="A4" s="148" t="str">
        <f>TRIMESTRE</f>
        <v>Del 1 de enero al 30 de marzo de 2020 (b)</v>
      </c>
      <c r="B4" s="149"/>
      <c r="C4" s="149"/>
      <c r="D4" s="149"/>
      <c r="E4" s="149"/>
      <c r="F4" s="149"/>
      <c r="G4" s="150"/>
    </row>
    <row r="5" spans="1:8" ht="14.25" x14ac:dyDescent="0.45">
      <c r="A5" s="151" t="s">
        <v>118</v>
      </c>
      <c r="B5" s="152"/>
      <c r="C5" s="152"/>
      <c r="D5" s="152"/>
      <c r="E5" s="152"/>
      <c r="F5" s="152"/>
      <c r="G5" s="153"/>
    </row>
    <row r="6" spans="1:8" x14ac:dyDescent="0.25">
      <c r="A6" s="157" t="s">
        <v>214</v>
      </c>
      <c r="B6" s="159" t="s">
        <v>208</v>
      </c>
      <c r="C6" s="159"/>
      <c r="D6" s="159"/>
      <c r="E6" s="159"/>
      <c r="F6" s="159"/>
      <c r="G6" s="159" t="s">
        <v>209</v>
      </c>
    </row>
    <row r="7" spans="1:8" ht="30" x14ac:dyDescent="0.25">
      <c r="A7" s="158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159"/>
    </row>
    <row r="8" spans="1:8" x14ac:dyDescent="0.25">
      <c r="A8" s="50" t="s">
        <v>215</v>
      </c>
      <c r="B8" s="12"/>
      <c r="C8" s="12"/>
      <c r="D8" s="12"/>
      <c r="E8" s="12"/>
      <c r="F8" s="12"/>
      <c r="G8" s="12"/>
    </row>
    <row r="9" spans="1:8" x14ac:dyDescent="0.25">
      <c r="A9" s="51" t="s">
        <v>216</v>
      </c>
      <c r="B9" s="135">
        <v>134407348</v>
      </c>
      <c r="C9" s="135">
        <v>24647214.190000001</v>
      </c>
      <c r="D9" s="135">
        <f>B9+C9</f>
        <v>159054562.19</v>
      </c>
      <c r="E9" s="135">
        <v>90330798.510000005</v>
      </c>
      <c r="F9" s="135">
        <v>90330798.510000005</v>
      </c>
      <c r="G9" s="135">
        <f>F9-B9</f>
        <v>-44076549.489999995</v>
      </c>
      <c r="H9" s="8"/>
    </row>
    <row r="10" spans="1:8" x14ac:dyDescent="0.25">
      <c r="A10" s="51" t="s">
        <v>217</v>
      </c>
      <c r="B10" s="135">
        <v>0</v>
      </c>
      <c r="C10" s="135">
        <v>0</v>
      </c>
      <c r="D10" s="135">
        <f t="shared" ref="D10:D15" si="0">B10+C10</f>
        <v>0</v>
      </c>
      <c r="E10" s="135">
        <v>0</v>
      </c>
      <c r="F10" s="135">
        <v>0</v>
      </c>
      <c r="G10" s="135">
        <f t="shared" ref="G10:G39" si="1">F10-B10</f>
        <v>0</v>
      </c>
    </row>
    <row r="11" spans="1:8" x14ac:dyDescent="0.25">
      <c r="A11" s="51" t="s">
        <v>218</v>
      </c>
      <c r="B11" s="135">
        <v>36613</v>
      </c>
      <c r="C11" s="135">
        <v>0</v>
      </c>
      <c r="D11" s="135">
        <f t="shared" si="0"/>
        <v>36613</v>
      </c>
      <c r="E11" s="135">
        <v>3929.42</v>
      </c>
      <c r="F11" s="135">
        <v>3929.42</v>
      </c>
      <c r="G11" s="135">
        <f t="shared" si="1"/>
        <v>-32683.58</v>
      </c>
    </row>
    <row r="12" spans="1:8" x14ac:dyDescent="0.25">
      <c r="A12" s="51" t="s">
        <v>219</v>
      </c>
      <c r="B12" s="135">
        <v>24947117.699999999</v>
      </c>
      <c r="C12" s="135">
        <v>0</v>
      </c>
      <c r="D12" s="135">
        <f t="shared" si="0"/>
        <v>24947117.699999999</v>
      </c>
      <c r="E12" s="135">
        <v>6321448.5800000001</v>
      </c>
      <c r="F12" s="135">
        <v>6321448.5800000001</v>
      </c>
      <c r="G12" s="135">
        <f t="shared" si="1"/>
        <v>-18625669.119999997</v>
      </c>
    </row>
    <row r="13" spans="1:8" x14ac:dyDescent="0.25">
      <c r="A13" s="51" t="s">
        <v>220</v>
      </c>
      <c r="B13" s="135">
        <v>4637432.42</v>
      </c>
      <c r="C13" s="135">
        <v>0</v>
      </c>
      <c r="D13" s="135">
        <f t="shared" si="0"/>
        <v>4637432.42</v>
      </c>
      <c r="E13" s="135">
        <v>1411225.17</v>
      </c>
      <c r="F13" s="135">
        <v>1411225.17</v>
      </c>
      <c r="G13" s="135">
        <f t="shared" si="1"/>
        <v>-3226207.25</v>
      </c>
    </row>
    <row r="14" spans="1:8" x14ac:dyDescent="0.25">
      <c r="A14" s="51" t="s">
        <v>221</v>
      </c>
      <c r="B14" s="135">
        <v>6784310</v>
      </c>
      <c r="C14" s="135">
        <v>0</v>
      </c>
      <c r="D14" s="135">
        <f t="shared" si="0"/>
        <v>6784310</v>
      </c>
      <c r="E14" s="135">
        <v>1624902.84</v>
      </c>
      <c r="F14" s="135">
        <v>1624902.84</v>
      </c>
      <c r="G14" s="135">
        <f t="shared" si="1"/>
        <v>-5159407.16</v>
      </c>
    </row>
    <row r="15" spans="1:8" x14ac:dyDescent="0.25">
      <c r="A15" s="51" t="s">
        <v>222</v>
      </c>
      <c r="B15" s="135">
        <v>0</v>
      </c>
      <c r="C15" s="135">
        <v>0</v>
      </c>
      <c r="D15" s="135">
        <f t="shared" si="0"/>
        <v>0</v>
      </c>
      <c r="E15" s="135">
        <v>0</v>
      </c>
      <c r="F15" s="135">
        <v>0</v>
      </c>
      <c r="G15" s="135">
        <f t="shared" si="1"/>
        <v>0</v>
      </c>
    </row>
    <row r="16" spans="1:8" x14ac:dyDescent="0.25">
      <c r="A16" s="10" t="s">
        <v>275</v>
      </c>
      <c r="B16" s="135">
        <f t="shared" ref="B16:G16" si="2">SUM(B17:B27)</f>
        <v>207848721</v>
      </c>
      <c r="C16" s="135">
        <f t="shared" si="2"/>
        <v>46864644.980000004</v>
      </c>
      <c r="D16" s="135">
        <f t="shared" si="2"/>
        <v>254713365.97999999</v>
      </c>
      <c r="E16" s="135">
        <f t="shared" si="2"/>
        <v>62218240.57</v>
      </c>
      <c r="F16" s="135">
        <f t="shared" si="2"/>
        <v>62218240.57</v>
      </c>
      <c r="G16" s="135">
        <f t="shared" si="2"/>
        <v>-145630480.43000001</v>
      </c>
    </row>
    <row r="17" spans="1:7" x14ac:dyDescent="0.25">
      <c r="A17" s="61" t="s">
        <v>223</v>
      </c>
      <c r="B17" s="135">
        <v>143155540</v>
      </c>
      <c r="C17" s="135">
        <v>17799922</v>
      </c>
      <c r="D17" s="135">
        <f t="shared" ref="D17:D27" si="3">B17+C17</f>
        <v>160955462</v>
      </c>
      <c r="E17" s="135">
        <v>40185154.770000003</v>
      </c>
      <c r="F17" s="135">
        <v>40185154.770000003</v>
      </c>
      <c r="G17" s="135">
        <f t="shared" si="1"/>
        <v>-102970385.22999999</v>
      </c>
    </row>
    <row r="18" spans="1:7" x14ac:dyDescent="0.25">
      <c r="A18" s="61" t="s">
        <v>224</v>
      </c>
      <c r="B18" s="135">
        <v>23933422</v>
      </c>
      <c r="C18" s="135">
        <v>18416694</v>
      </c>
      <c r="D18" s="135">
        <f t="shared" si="3"/>
        <v>42350116</v>
      </c>
      <c r="E18" s="135">
        <v>11938321.220000001</v>
      </c>
      <c r="F18" s="135">
        <v>11938321.220000001</v>
      </c>
      <c r="G18" s="135">
        <f t="shared" si="1"/>
        <v>-11995100.779999999</v>
      </c>
    </row>
    <row r="19" spans="1:7" x14ac:dyDescent="0.25">
      <c r="A19" s="61" t="s">
        <v>225</v>
      </c>
      <c r="B19" s="135">
        <v>10756887</v>
      </c>
      <c r="C19" s="135">
        <v>1865767</v>
      </c>
      <c r="D19" s="135">
        <f t="shared" si="3"/>
        <v>12622654</v>
      </c>
      <c r="E19" s="135">
        <v>2521782.44</v>
      </c>
      <c r="F19" s="135">
        <v>2521782.44</v>
      </c>
      <c r="G19" s="135">
        <f t="shared" si="1"/>
        <v>-8235104.5600000005</v>
      </c>
    </row>
    <row r="20" spans="1:7" x14ac:dyDescent="0.25">
      <c r="A20" s="61" t="s">
        <v>226</v>
      </c>
      <c r="B20" s="135">
        <v>0</v>
      </c>
      <c r="C20" s="135">
        <v>0</v>
      </c>
      <c r="D20" s="135">
        <f t="shared" si="3"/>
        <v>0</v>
      </c>
      <c r="E20" s="135">
        <v>0</v>
      </c>
      <c r="F20" s="135">
        <v>0</v>
      </c>
      <c r="G20" s="135">
        <f t="shared" si="1"/>
        <v>0</v>
      </c>
    </row>
    <row r="21" spans="1:7" x14ac:dyDescent="0.25">
      <c r="A21" s="61" t="s">
        <v>227</v>
      </c>
      <c r="B21" s="135">
        <v>0</v>
      </c>
      <c r="C21" s="135">
        <v>0</v>
      </c>
      <c r="D21" s="135">
        <f t="shared" si="3"/>
        <v>0</v>
      </c>
      <c r="E21" s="135">
        <v>0</v>
      </c>
      <c r="F21" s="135">
        <v>0</v>
      </c>
      <c r="G21" s="135">
        <f t="shared" si="1"/>
        <v>0</v>
      </c>
    </row>
    <row r="22" spans="1:7" x14ac:dyDescent="0.25">
      <c r="A22" s="61" t="s">
        <v>228</v>
      </c>
      <c r="B22" s="135">
        <v>2621960</v>
      </c>
      <c r="C22" s="135">
        <v>1551970</v>
      </c>
      <c r="D22" s="135">
        <f t="shared" si="3"/>
        <v>4173930</v>
      </c>
      <c r="E22" s="135">
        <v>1098223.28</v>
      </c>
      <c r="F22" s="135">
        <v>1098223.28</v>
      </c>
      <c r="G22" s="135">
        <f t="shared" si="1"/>
        <v>-1523736.72</v>
      </c>
    </row>
    <row r="23" spans="1:7" x14ac:dyDescent="0.25">
      <c r="A23" s="61" t="s">
        <v>229</v>
      </c>
      <c r="B23" s="135">
        <v>0</v>
      </c>
      <c r="C23" s="135">
        <v>0</v>
      </c>
      <c r="D23" s="135">
        <f t="shared" si="3"/>
        <v>0</v>
      </c>
      <c r="E23" s="135">
        <v>0</v>
      </c>
      <c r="F23" s="135">
        <v>0</v>
      </c>
      <c r="G23" s="135">
        <f t="shared" si="1"/>
        <v>0</v>
      </c>
    </row>
    <row r="24" spans="1:7" x14ac:dyDescent="0.25">
      <c r="A24" s="61" t="s">
        <v>230</v>
      </c>
      <c r="B24" s="135">
        <v>0</v>
      </c>
      <c r="C24" s="135">
        <v>0</v>
      </c>
      <c r="D24" s="135">
        <f t="shared" si="3"/>
        <v>0</v>
      </c>
      <c r="E24" s="135">
        <v>0</v>
      </c>
      <c r="F24" s="135">
        <v>0</v>
      </c>
      <c r="G24" s="135">
        <f t="shared" si="1"/>
        <v>0</v>
      </c>
    </row>
    <row r="25" spans="1:7" x14ac:dyDescent="0.25">
      <c r="A25" s="61" t="s">
        <v>231</v>
      </c>
      <c r="B25" s="135">
        <v>6174736</v>
      </c>
      <c r="C25" s="135">
        <v>0</v>
      </c>
      <c r="D25" s="135">
        <f t="shared" si="3"/>
        <v>6174736</v>
      </c>
      <c r="E25" s="135">
        <v>1634095.86</v>
      </c>
      <c r="F25" s="135">
        <v>1634095.86</v>
      </c>
      <c r="G25" s="135">
        <f t="shared" si="1"/>
        <v>-4540640.1399999997</v>
      </c>
    </row>
    <row r="26" spans="1:7" x14ac:dyDescent="0.25">
      <c r="A26" s="61" t="s">
        <v>232</v>
      </c>
      <c r="B26" s="135">
        <v>21206176</v>
      </c>
      <c r="C26" s="135">
        <v>7230291.9800000004</v>
      </c>
      <c r="D26" s="135">
        <f t="shared" si="3"/>
        <v>28436467.98</v>
      </c>
      <c r="E26" s="135">
        <v>4840663</v>
      </c>
      <c r="F26" s="135">
        <v>4840663</v>
      </c>
      <c r="G26" s="135">
        <f t="shared" si="1"/>
        <v>-16365513</v>
      </c>
    </row>
    <row r="27" spans="1:7" x14ac:dyDescent="0.25">
      <c r="A27" s="61" t="s">
        <v>233</v>
      </c>
      <c r="B27" s="135">
        <v>0</v>
      </c>
      <c r="C27" s="135">
        <v>0</v>
      </c>
      <c r="D27" s="135">
        <f t="shared" si="3"/>
        <v>0</v>
      </c>
      <c r="E27" s="135">
        <v>0</v>
      </c>
      <c r="F27" s="135">
        <v>0</v>
      </c>
      <c r="G27" s="135">
        <f t="shared" si="1"/>
        <v>0</v>
      </c>
    </row>
    <row r="28" spans="1:7" x14ac:dyDescent="0.25">
      <c r="A28" s="51" t="s">
        <v>234</v>
      </c>
      <c r="B28" s="135">
        <f>SUM(B29:B33)</f>
        <v>3784967</v>
      </c>
      <c r="C28" s="135">
        <f t="shared" ref="C28:F28" si="4">SUM(C29:C33)</f>
        <v>-329000</v>
      </c>
      <c r="D28" s="135">
        <f t="shared" si="4"/>
        <v>3455967</v>
      </c>
      <c r="E28" s="135">
        <f t="shared" si="4"/>
        <v>795826.63</v>
      </c>
      <c r="F28" s="135">
        <f t="shared" si="4"/>
        <v>795826.63</v>
      </c>
      <c r="G28" s="135">
        <f t="shared" si="1"/>
        <v>-2989140.37</v>
      </c>
    </row>
    <row r="29" spans="1:7" x14ac:dyDescent="0.25">
      <c r="A29" s="61" t="s">
        <v>235</v>
      </c>
      <c r="B29" s="135">
        <v>13121</v>
      </c>
      <c r="C29" s="135">
        <v>0</v>
      </c>
      <c r="D29" s="135">
        <f t="shared" ref="D29:D33" si="5">B29+C29</f>
        <v>13121</v>
      </c>
      <c r="E29" s="135">
        <v>6617.12</v>
      </c>
      <c r="F29" s="135">
        <v>6617.12</v>
      </c>
      <c r="G29" s="135">
        <f t="shared" si="1"/>
        <v>-6503.88</v>
      </c>
    </row>
    <row r="30" spans="1:7" x14ac:dyDescent="0.25">
      <c r="A30" s="61" t="s">
        <v>236</v>
      </c>
      <c r="B30" s="135">
        <v>463313</v>
      </c>
      <c r="C30" s="135">
        <v>0</v>
      </c>
      <c r="D30" s="135">
        <f t="shared" si="5"/>
        <v>463313</v>
      </c>
      <c r="E30" s="135">
        <v>127962.87</v>
      </c>
      <c r="F30" s="135">
        <v>127962.87</v>
      </c>
      <c r="G30" s="135">
        <f t="shared" si="1"/>
        <v>-335350.13</v>
      </c>
    </row>
    <row r="31" spans="1:7" x14ac:dyDescent="0.25">
      <c r="A31" s="61" t="s">
        <v>237</v>
      </c>
      <c r="B31" s="135">
        <v>2504453</v>
      </c>
      <c r="C31" s="135">
        <v>-329000</v>
      </c>
      <c r="D31" s="135">
        <f t="shared" si="5"/>
        <v>2175453</v>
      </c>
      <c r="E31" s="135">
        <v>585814.88</v>
      </c>
      <c r="F31" s="135">
        <v>585814.88</v>
      </c>
      <c r="G31" s="135">
        <f t="shared" si="1"/>
        <v>-1918638.12</v>
      </c>
    </row>
    <row r="32" spans="1:7" x14ac:dyDescent="0.25">
      <c r="A32" s="61" t="s">
        <v>238</v>
      </c>
      <c r="B32" s="135">
        <v>0</v>
      </c>
      <c r="C32" s="135">
        <v>0</v>
      </c>
      <c r="D32" s="135">
        <f t="shared" si="5"/>
        <v>0</v>
      </c>
      <c r="E32" s="135">
        <v>0</v>
      </c>
      <c r="F32" s="135">
        <v>0</v>
      </c>
      <c r="G32" s="135">
        <f t="shared" si="1"/>
        <v>0</v>
      </c>
    </row>
    <row r="33" spans="1:8" x14ac:dyDescent="0.25">
      <c r="A33" s="61" t="s">
        <v>239</v>
      </c>
      <c r="B33" s="135">
        <v>804080</v>
      </c>
      <c r="C33" s="135">
        <v>0</v>
      </c>
      <c r="D33" s="135">
        <f t="shared" si="5"/>
        <v>804080</v>
      </c>
      <c r="E33" s="135">
        <f>71462.04+3969.72</f>
        <v>75431.759999999995</v>
      </c>
      <c r="F33" s="135">
        <f>71462.04+3969.72</f>
        <v>75431.759999999995</v>
      </c>
      <c r="G33" s="135">
        <f t="shared" si="1"/>
        <v>-728648.24</v>
      </c>
    </row>
    <row r="34" spans="1:8" x14ac:dyDescent="0.25">
      <c r="A34" s="51" t="s">
        <v>240</v>
      </c>
      <c r="B34" s="135">
        <v>0</v>
      </c>
      <c r="C34" s="135">
        <v>0</v>
      </c>
      <c r="D34" s="135">
        <f>B34+C34</f>
        <v>0</v>
      </c>
      <c r="E34" s="135">
        <v>0</v>
      </c>
      <c r="F34" s="135">
        <v>0</v>
      </c>
      <c r="G34" s="135">
        <f t="shared" si="1"/>
        <v>0</v>
      </c>
    </row>
    <row r="35" spans="1:8" x14ac:dyDescent="0.25">
      <c r="A35" s="51" t="s">
        <v>241</v>
      </c>
      <c r="B35" s="135">
        <f>B36</f>
        <v>0</v>
      </c>
      <c r="C35" s="135">
        <f>C36</f>
        <v>2500000</v>
      </c>
      <c r="D35" s="135">
        <f>B35+C35</f>
        <v>2500000</v>
      </c>
      <c r="E35" s="135">
        <f>E36</f>
        <v>0</v>
      </c>
      <c r="F35" s="135">
        <f>F36</f>
        <v>0</v>
      </c>
      <c r="G35" s="135">
        <f t="shared" si="1"/>
        <v>0</v>
      </c>
    </row>
    <row r="36" spans="1:8" x14ac:dyDescent="0.25">
      <c r="A36" s="61" t="s">
        <v>242</v>
      </c>
      <c r="B36" s="135">
        <v>0</v>
      </c>
      <c r="C36" s="135">
        <v>2500000</v>
      </c>
      <c r="D36" s="135">
        <f>B36+C36</f>
        <v>2500000</v>
      </c>
      <c r="E36" s="135">
        <v>0</v>
      </c>
      <c r="F36" s="135">
        <v>0</v>
      </c>
      <c r="G36" s="135">
        <f t="shared" si="1"/>
        <v>0</v>
      </c>
    </row>
    <row r="37" spans="1:8" x14ac:dyDescent="0.25">
      <c r="A37" s="51" t="s">
        <v>243</v>
      </c>
      <c r="B37" s="135">
        <f>B38+B39</f>
        <v>0</v>
      </c>
      <c r="C37" s="135">
        <f t="shared" ref="C37:F38" si="6">C38+C39</f>
        <v>0</v>
      </c>
      <c r="D37" s="135">
        <f t="shared" si="6"/>
        <v>0</v>
      </c>
      <c r="E37" s="135">
        <f t="shared" si="6"/>
        <v>0</v>
      </c>
      <c r="F37" s="135">
        <f t="shared" si="6"/>
        <v>0</v>
      </c>
      <c r="G37" s="135">
        <f t="shared" si="1"/>
        <v>0</v>
      </c>
    </row>
    <row r="38" spans="1:8" x14ac:dyDescent="0.25">
      <c r="A38" s="61" t="s">
        <v>244</v>
      </c>
      <c r="B38" s="135">
        <f>B39+B40</f>
        <v>0</v>
      </c>
      <c r="C38" s="135">
        <f t="shared" si="6"/>
        <v>0</v>
      </c>
      <c r="D38" s="135">
        <f>B38+C38</f>
        <v>0</v>
      </c>
      <c r="E38" s="135">
        <v>0</v>
      </c>
      <c r="F38" s="135">
        <v>0</v>
      </c>
      <c r="G38" s="135">
        <f t="shared" si="1"/>
        <v>0</v>
      </c>
    </row>
    <row r="39" spans="1:8" x14ac:dyDescent="0.25">
      <c r="A39" s="61" t="s">
        <v>245</v>
      </c>
      <c r="B39" s="135">
        <v>0</v>
      </c>
      <c r="C39" s="135">
        <v>0</v>
      </c>
      <c r="D39" s="135">
        <f>B39+C39</f>
        <v>0</v>
      </c>
      <c r="E39" s="135">
        <v>0</v>
      </c>
      <c r="F39" s="135">
        <v>0</v>
      </c>
      <c r="G39" s="135">
        <f t="shared" si="1"/>
        <v>0</v>
      </c>
    </row>
    <row r="40" spans="1:8" x14ac:dyDescent="0.25">
      <c r="A40" s="52"/>
      <c r="B40" s="136"/>
      <c r="C40" s="136"/>
      <c r="D40" s="136"/>
      <c r="E40" s="136"/>
      <c r="F40" s="136"/>
      <c r="G40" s="136"/>
    </row>
    <row r="41" spans="1:8" x14ac:dyDescent="0.25">
      <c r="A41" s="53" t="s">
        <v>276</v>
      </c>
      <c r="B41" s="134">
        <f>SUM(B9,B10,B11,B12,B13,B14,B15,B16,B28,B34,B35,B37)</f>
        <v>382446509.12</v>
      </c>
      <c r="C41" s="134">
        <f t="shared" ref="C41:E41" si="7">SUM(C9,C10,C11,C12,C13,C14,C15,C16,C28,C34,C35,C37)</f>
        <v>73682859.170000002</v>
      </c>
      <c r="D41" s="134">
        <f t="shared" si="7"/>
        <v>456129368.28999996</v>
      </c>
      <c r="E41" s="134">
        <f t="shared" si="7"/>
        <v>162706371.72</v>
      </c>
      <c r="F41" s="134">
        <f>SUM(F9,F10,F11,F12,F13,F14,F15,F16,F28,F34,F35,F37)</f>
        <v>162706371.72</v>
      </c>
      <c r="G41" s="134">
        <f>SUM(G9,G10,G11,G12,G13,G14,G15,G16,G28,G34,G35,G37)</f>
        <v>-219740137.40000001</v>
      </c>
    </row>
    <row r="42" spans="1:8" x14ac:dyDescent="0.25">
      <c r="A42" s="53" t="s">
        <v>246</v>
      </c>
      <c r="B42" s="115"/>
      <c r="C42" s="115"/>
      <c r="D42" s="115"/>
      <c r="E42" s="115"/>
      <c r="F42" s="115"/>
      <c r="G42" s="59">
        <f>IF(G41&gt;0,G41,0)</f>
        <v>0</v>
      </c>
      <c r="H42" s="8"/>
    </row>
    <row r="43" spans="1:8" ht="14.25" x14ac:dyDescent="0.45">
      <c r="A43" s="52"/>
      <c r="B43" s="52"/>
      <c r="C43" s="52"/>
      <c r="D43" s="52"/>
      <c r="E43" s="52"/>
      <c r="F43" s="52"/>
      <c r="G43" s="52"/>
    </row>
    <row r="44" spans="1:8" x14ac:dyDescent="0.25">
      <c r="A44" s="53" t="s">
        <v>247</v>
      </c>
      <c r="B44" s="52"/>
      <c r="C44" s="52"/>
      <c r="D44" s="52"/>
      <c r="E44" s="52"/>
      <c r="F44" s="52"/>
      <c r="G44" s="52"/>
    </row>
    <row r="45" spans="1:8" x14ac:dyDescent="0.25">
      <c r="A45" s="51" t="s">
        <v>248</v>
      </c>
      <c r="B45" s="135">
        <f>SUM(B46:B53)</f>
        <v>211659985</v>
      </c>
      <c r="C45" s="135">
        <f t="shared" ref="C45:F45" si="8">SUM(C46:C53)</f>
        <v>5802845.04</v>
      </c>
      <c r="D45" s="135">
        <f t="shared" si="8"/>
        <v>217462830.04000002</v>
      </c>
      <c r="E45" s="135">
        <f t="shared" si="8"/>
        <v>58622994</v>
      </c>
      <c r="F45" s="135">
        <f t="shared" si="8"/>
        <v>58622994</v>
      </c>
      <c r="G45" s="135">
        <f>F45-B45</f>
        <v>-153036991</v>
      </c>
    </row>
    <row r="46" spans="1:8" x14ac:dyDescent="0.25">
      <c r="A46" s="65" t="s">
        <v>249</v>
      </c>
      <c r="B46" s="135">
        <v>0</v>
      </c>
      <c r="C46" s="135">
        <v>0</v>
      </c>
      <c r="D46" s="135">
        <f>B46+C46</f>
        <v>0</v>
      </c>
      <c r="E46" s="135">
        <v>0</v>
      </c>
      <c r="F46" s="135">
        <v>0</v>
      </c>
      <c r="G46" s="135">
        <f>F46-B46</f>
        <v>0</v>
      </c>
    </row>
    <row r="47" spans="1:8" x14ac:dyDescent="0.25">
      <c r="A47" s="65" t="s">
        <v>250</v>
      </c>
      <c r="B47" s="135">
        <v>0</v>
      </c>
      <c r="C47" s="135">
        <v>0</v>
      </c>
      <c r="D47" s="135">
        <f t="shared" ref="D47:D53" si="9">B47+C47</f>
        <v>0</v>
      </c>
      <c r="E47" s="135">
        <v>0</v>
      </c>
      <c r="F47" s="135">
        <v>0</v>
      </c>
      <c r="G47" s="135">
        <f t="shared" ref="G47:G48" si="10">F47-B47</f>
        <v>0</v>
      </c>
    </row>
    <row r="48" spans="1:8" x14ac:dyDescent="0.25">
      <c r="A48" s="65" t="s">
        <v>251</v>
      </c>
      <c r="B48" s="135">
        <v>83371662</v>
      </c>
      <c r="C48" s="135">
        <v>2078042</v>
      </c>
      <c r="D48" s="135">
        <f t="shared" si="9"/>
        <v>85449704</v>
      </c>
      <c r="E48" s="135">
        <v>25634910</v>
      </c>
      <c r="F48" s="135">
        <v>25634910</v>
      </c>
      <c r="G48" s="135">
        <f t="shared" si="10"/>
        <v>-57736752</v>
      </c>
    </row>
    <row r="49" spans="1:7" ht="30" x14ac:dyDescent="0.25">
      <c r="A49" s="65" t="s">
        <v>252</v>
      </c>
      <c r="B49" s="135">
        <v>128288323</v>
      </c>
      <c r="C49" s="135">
        <v>3724803.04</v>
      </c>
      <c r="D49" s="135">
        <f t="shared" si="9"/>
        <v>132013126.04000001</v>
      </c>
      <c r="E49" s="135">
        <v>32988084</v>
      </c>
      <c r="F49" s="135">
        <v>32988084</v>
      </c>
      <c r="G49" s="135">
        <f>F49-B49</f>
        <v>-95300239</v>
      </c>
    </row>
    <row r="50" spans="1:7" x14ac:dyDescent="0.25">
      <c r="A50" s="65" t="s">
        <v>253</v>
      </c>
      <c r="B50" s="135">
        <v>0</v>
      </c>
      <c r="C50" s="135">
        <v>0</v>
      </c>
      <c r="D50" s="135">
        <f t="shared" si="9"/>
        <v>0</v>
      </c>
      <c r="E50" s="135">
        <v>0</v>
      </c>
      <c r="F50" s="135">
        <v>0</v>
      </c>
      <c r="G50" s="135">
        <f t="shared" ref="G50:G63" si="11">F50-B50</f>
        <v>0</v>
      </c>
    </row>
    <row r="51" spans="1:7" x14ac:dyDescent="0.25">
      <c r="A51" s="65" t="s">
        <v>254</v>
      </c>
      <c r="B51" s="135">
        <v>0</v>
      </c>
      <c r="C51" s="135">
        <v>0</v>
      </c>
      <c r="D51" s="135">
        <f t="shared" si="9"/>
        <v>0</v>
      </c>
      <c r="E51" s="135">
        <v>0</v>
      </c>
      <c r="F51" s="135">
        <v>0</v>
      </c>
      <c r="G51" s="135">
        <f t="shared" si="11"/>
        <v>0</v>
      </c>
    </row>
    <row r="52" spans="1:7" x14ac:dyDescent="0.25">
      <c r="A52" s="46" t="s">
        <v>255</v>
      </c>
      <c r="B52" s="135">
        <v>0</v>
      </c>
      <c r="C52" s="135">
        <v>0</v>
      </c>
      <c r="D52" s="135">
        <f t="shared" si="9"/>
        <v>0</v>
      </c>
      <c r="E52" s="135">
        <v>0</v>
      </c>
      <c r="F52" s="135">
        <v>0</v>
      </c>
      <c r="G52" s="135">
        <f t="shared" si="11"/>
        <v>0</v>
      </c>
    </row>
    <row r="53" spans="1:7" x14ac:dyDescent="0.25">
      <c r="A53" s="61" t="s">
        <v>256</v>
      </c>
      <c r="B53" s="135">
        <v>0</v>
      </c>
      <c r="C53" s="135">
        <v>0</v>
      </c>
      <c r="D53" s="135">
        <f t="shared" si="9"/>
        <v>0</v>
      </c>
      <c r="E53" s="135">
        <v>0</v>
      </c>
      <c r="F53" s="135">
        <v>0</v>
      </c>
      <c r="G53" s="135">
        <f t="shared" si="11"/>
        <v>0</v>
      </c>
    </row>
    <row r="54" spans="1:7" x14ac:dyDescent="0.25">
      <c r="A54" s="51" t="s">
        <v>257</v>
      </c>
      <c r="B54" s="135">
        <f>SUM(B55:B58)</f>
        <v>0</v>
      </c>
      <c r="C54" s="135">
        <f t="shared" ref="C54:F54" si="12">SUM(C55:C58)</f>
        <v>3248295.29</v>
      </c>
      <c r="D54" s="135">
        <f t="shared" si="12"/>
        <v>3248295.29</v>
      </c>
      <c r="E54" s="135">
        <f t="shared" si="12"/>
        <v>432030.04</v>
      </c>
      <c r="F54" s="135">
        <f t="shared" si="12"/>
        <v>432030.04</v>
      </c>
      <c r="G54" s="135">
        <f t="shared" si="11"/>
        <v>432030.04</v>
      </c>
    </row>
    <row r="55" spans="1:7" x14ac:dyDescent="0.25">
      <c r="A55" s="46" t="s">
        <v>258</v>
      </c>
      <c r="B55" s="135">
        <v>0</v>
      </c>
      <c r="C55" s="135">
        <v>0</v>
      </c>
      <c r="D55" s="135">
        <f t="shared" ref="D55:D58" si="13">B55+C55</f>
        <v>0</v>
      </c>
      <c r="E55" s="135">
        <v>0</v>
      </c>
      <c r="F55" s="135">
        <v>0</v>
      </c>
      <c r="G55" s="135">
        <f t="shared" si="11"/>
        <v>0</v>
      </c>
    </row>
    <row r="56" spans="1:7" x14ac:dyDescent="0.25">
      <c r="A56" s="65" t="s">
        <v>259</v>
      </c>
      <c r="B56" s="135">
        <v>0</v>
      </c>
      <c r="C56" s="135">
        <v>0</v>
      </c>
      <c r="D56" s="135">
        <f t="shared" si="13"/>
        <v>0</v>
      </c>
      <c r="E56" s="135">
        <v>0</v>
      </c>
      <c r="F56" s="135">
        <v>0</v>
      </c>
      <c r="G56" s="135">
        <f t="shared" si="11"/>
        <v>0</v>
      </c>
    </row>
    <row r="57" spans="1:7" x14ac:dyDescent="0.25">
      <c r="A57" s="65" t="s">
        <v>260</v>
      </c>
      <c r="B57" s="135">
        <v>0</v>
      </c>
      <c r="C57" s="135">
        <v>0</v>
      </c>
      <c r="D57" s="135">
        <f t="shared" si="13"/>
        <v>0</v>
      </c>
      <c r="E57" s="135">
        <v>0</v>
      </c>
      <c r="F57" s="135">
        <v>0</v>
      </c>
      <c r="G57" s="135">
        <f t="shared" si="11"/>
        <v>0</v>
      </c>
    </row>
    <row r="58" spans="1:7" x14ac:dyDescent="0.25">
      <c r="A58" s="46" t="s">
        <v>261</v>
      </c>
      <c r="B58" s="135">
        <v>0</v>
      </c>
      <c r="C58" s="135">
        <v>3248295.29</v>
      </c>
      <c r="D58" s="135">
        <f t="shared" si="13"/>
        <v>3248295.29</v>
      </c>
      <c r="E58" s="135">
        <v>432030.04</v>
      </c>
      <c r="F58" s="135">
        <v>432030.04</v>
      </c>
      <c r="G58" s="135">
        <f t="shared" si="11"/>
        <v>432030.04</v>
      </c>
    </row>
    <row r="59" spans="1:7" x14ac:dyDescent="0.25">
      <c r="A59" s="51" t="s">
        <v>262</v>
      </c>
      <c r="B59" s="135">
        <f>B60+B61</f>
        <v>0</v>
      </c>
      <c r="C59" s="135">
        <f t="shared" ref="C59:F62" si="14">C60+C61</f>
        <v>0</v>
      </c>
      <c r="D59" s="135">
        <f t="shared" si="14"/>
        <v>0</v>
      </c>
      <c r="E59" s="135">
        <f t="shared" si="14"/>
        <v>0</v>
      </c>
      <c r="F59" s="135">
        <f t="shared" si="14"/>
        <v>0</v>
      </c>
      <c r="G59" s="135">
        <f t="shared" si="11"/>
        <v>0</v>
      </c>
    </row>
    <row r="60" spans="1:7" x14ac:dyDescent="0.25">
      <c r="A60" s="65" t="s">
        <v>263</v>
      </c>
      <c r="B60" s="135">
        <v>0</v>
      </c>
      <c r="C60" s="135">
        <v>0</v>
      </c>
      <c r="D60" s="135">
        <f t="shared" ref="D60:F63" si="15">B60+C60</f>
        <v>0</v>
      </c>
      <c r="E60" s="135">
        <f t="shared" si="14"/>
        <v>0</v>
      </c>
      <c r="F60" s="135">
        <f t="shared" si="14"/>
        <v>0</v>
      </c>
      <c r="G60" s="135">
        <f t="shared" si="11"/>
        <v>0</v>
      </c>
    </row>
    <row r="61" spans="1:7" x14ac:dyDescent="0.25">
      <c r="A61" s="65" t="s">
        <v>264</v>
      </c>
      <c r="B61" s="135">
        <v>0</v>
      </c>
      <c r="C61" s="135">
        <v>0</v>
      </c>
      <c r="D61" s="135">
        <f t="shared" si="15"/>
        <v>0</v>
      </c>
      <c r="E61" s="135">
        <f t="shared" si="14"/>
        <v>0</v>
      </c>
      <c r="F61" s="135">
        <f t="shared" si="14"/>
        <v>0</v>
      </c>
      <c r="G61" s="135">
        <f t="shared" si="11"/>
        <v>0</v>
      </c>
    </row>
    <row r="62" spans="1:7" x14ac:dyDescent="0.25">
      <c r="A62" s="51" t="s">
        <v>265</v>
      </c>
      <c r="B62" s="135">
        <v>0</v>
      </c>
      <c r="C62" s="135">
        <v>0</v>
      </c>
      <c r="D62" s="135">
        <f t="shared" si="15"/>
        <v>0</v>
      </c>
      <c r="E62" s="135">
        <f t="shared" si="14"/>
        <v>0</v>
      </c>
      <c r="F62" s="135">
        <f t="shared" si="14"/>
        <v>0</v>
      </c>
      <c r="G62" s="135">
        <f t="shared" si="11"/>
        <v>0</v>
      </c>
    </row>
    <row r="63" spans="1:7" x14ac:dyDescent="0.25">
      <c r="A63" s="51" t="s">
        <v>266</v>
      </c>
      <c r="B63" s="135">
        <v>0</v>
      </c>
      <c r="C63" s="135">
        <v>0</v>
      </c>
      <c r="D63" s="135">
        <f t="shared" si="15"/>
        <v>0</v>
      </c>
      <c r="E63" s="135">
        <f t="shared" si="15"/>
        <v>0</v>
      </c>
      <c r="F63" s="135">
        <f t="shared" si="15"/>
        <v>0</v>
      </c>
      <c r="G63" s="135">
        <f t="shared" si="11"/>
        <v>0</v>
      </c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3" t="s">
        <v>267</v>
      </c>
      <c r="B65" s="134">
        <f>B45+B54+B59+B62+B63</f>
        <v>211659985</v>
      </c>
      <c r="C65" s="134">
        <f t="shared" ref="C65:G65" si="16">C45+C54+C59+C62+C63</f>
        <v>9051140.3300000001</v>
      </c>
      <c r="D65" s="134">
        <f t="shared" si="16"/>
        <v>220711125.33000001</v>
      </c>
      <c r="E65" s="134">
        <f t="shared" si="16"/>
        <v>59055024.039999999</v>
      </c>
      <c r="F65" s="134">
        <f t="shared" si="16"/>
        <v>59055024.039999999</v>
      </c>
      <c r="G65" s="134">
        <f t="shared" si="16"/>
        <v>-152604960.96000001</v>
      </c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3" t="s">
        <v>268</v>
      </c>
      <c r="B67" s="134">
        <f>B68</f>
        <v>0</v>
      </c>
      <c r="C67" s="134">
        <f t="shared" ref="C67:G67" si="17">C68</f>
        <v>32558201.52</v>
      </c>
      <c r="D67" s="134">
        <f t="shared" si="17"/>
        <v>32558201.52</v>
      </c>
      <c r="E67" s="134">
        <f t="shared" si="17"/>
        <v>0</v>
      </c>
      <c r="F67" s="134">
        <f t="shared" si="17"/>
        <v>0</v>
      </c>
      <c r="G67" s="134">
        <f t="shared" si="17"/>
        <v>0</v>
      </c>
    </row>
    <row r="68" spans="1:7" x14ac:dyDescent="0.25">
      <c r="A68" s="51" t="s">
        <v>269</v>
      </c>
      <c r="B68" s="135">
        <v>0</v>
      </c>
      <c r="C68" s="135">
        <v>32558201.52</v>
      </c>
      <c r="D68" s="135">
        <v>32558201.52</v>
      </c>
      <c r="E68" s="135">
        <v>0</v>
      </c>
      <c r="F68" s="135">
        <v>0</v>
      </c>
      <c r="G68" s="135">
        <f>F68-B68</f>
        <v>0</v>
      </c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3" t="s">
        <v>270</v>
      </c>
      <c r="B70" s="134">
        <f>B41+B65+B67</f>
        <v>594106494.12</v>
      </c>
      <c r="C70" s="134">
        <f t="shared" ref="C70:G70" si="18">C41+C65+C67</f>
        <v>115292201.02</v>
      </c>
      <c r="D70" s="134">
        <f t="shared" si="18"/>
        <v>709398695.13999999</v>
      </c>
      <c r="E70" s="134">
        <f t="shared" si="18"/>
        <v>221761395.75999999</v>
      </c>
      <c r="F70" s="134">
        <f t="shared" si="18"/>
        <v>221761395.75999999</v>
      </c>
      <c r="G70" s="134">
        <f t="shared" si="18"/>
        <v>-372345098.36000001</v>
      </c>
    </row>
    <row r="71" spans="1:7" x14ac:dyDescent="0.25">
      <c r="A71" s="52"/>
      <c r="B71" s="52"/>
      <c r="C71" s="52"/>
      <c r="D71" s="52"/>
      <c r="E71" s="52"/>
      <c r="F71" s="52"/>
      <c r="G71" s="52"/>
    </row>
    <row r="72" spans="1:7" x14ac:dyDescent="0.25">
      <c r="A72" s="53" t="s">
        <v>271</v>
      </c>
      <c r="B72" s="52"/>
      <c r="C72" s="52"/>
      <c r="D72" s="52"/>
      <c r="E72" s="52"/>
      <c r="F72" s="52"/>
      <c r="G72" s="52"/>
    </row>
    <row r="73" spans="1:7" x14ac:dyDescent="0.25">
      <c r="A73" s="116" t="s">
        <v>272</v>
      </c>
      <c r="B73" s="135">
        <v>1</v>
      </c>
      <c r="C73" s="135">
        <v>2000000</v>
      </c>
      <c r="D73" s="135">
        <v>2000000</v>
      </c>
      <c r="E73" s="135">
        <v>1</v>
      </c>
      <c r="F73" s="135">
        <v>3</v>
      </c>
      <c r="G73" s="135">
        <f>F73-B73</f>
        <v>2</v>
      </c>
    </row>
    <row r="74" spans="1:7" ht="30" x14ac:dyDescent="0.25">
      <c r="A74" s="116" t="s">
        <v>273</v>
      </c>
      <c r="B74" s="135">
        <v>1</v>
      </c>
      <c r="C74" s="135">
        <v>30558201.52</v>
      </c>
      <c r="D74" s="135">
        <v>30558201.52</v>
      </c>
      <c r="E74" s="135">
        <v>1</v>
      </c>
      <c r="F74" s="135">
        <v>3</v>
      </c>
      <c r="G74" s="135">
        <f>F74-B74</f>
        <v>2</v>
      </c>
    </row>
    <row r="75" spans="1:7" x14ac:dyDescent="0.25">
      <c r="A75" s="108" t="s">
        <v>274</v>
      </c>
      <c r="B75" s="134">
        <f>B73+B74</f>
        <v>2</v>
      </c>
      <c r="C75" s="134">
        <v>32558201.52</v>
      </c>
      <c r="D75" s="134">
        <v>32558201.52</v>
      </c>
      <c r="E75" s="134">
        <f t="shared" ref="E75:G75" si="19">E73+E74</f>
        <v>2</v>
      </c>
      <c r="F75" s="134">
        <f t="shared" si="19"/>
        <v>6</v>
      </c>
      <c r="G75" s="134">
        <f t="shared" si="19"/>
        <v>4</v>
      </c>
    </row>
    <row r="76" spans="1:7" x14ac:dyDescent="0.25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15748031496062992" right="0.15748031496062992" top="0.74803149606299213" bottom="0.74803149606299213" header="0.31496062992125984" footer="0.31496062992125984"/>
  <pageSetup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134407348</v>
      </c>
      <c r="Q3" s="18">
        <f>'Formato 5'!C9</f>
        <v>24647214.190000001</v>
      </c>
      <c r="R3" s="18">
        <f>'Formato 5'!D9</f>
        <v>159054562.19</v>
      </c>
      <c r="S3" s="18">
        <f>'Formato 5'!E9</f>
        <v>90330798.510000005</v>
      </c>
      <c r="T3" s="18">
        <f>'Formato 5'!F9</f>
        <v>90330798.510000005</v>
      </c>
      <c r="U3" s="18">
        <f>'Formato 5'!G9</f>
        <v>-44076549.489999995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36613</v>
      </c>
      <c r="Q5" s="18">
        <f>'Formato 5'!C11</f>
        <v>0</v>
      </c>
      <c r="R5" s="18">
        <f>'Formato 5'!D11</f>
        <v>36613</v>
      </c>
      <c r="S5" s="18">
        <f>'Formato 5'!E11</f>
        <v>3929.42</v>
      </c>
      <c r="T5" s="18">
        <f>'Formato 5'!F11</f>
        <v>3929.42</v>
      </c>
      <c r="U5" s="18">
        <f>'Formato 5'!G11</f>
        <v>-32683.58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24947117.699999999</v>
      </c>
      <c r="Q6" s="18">
        <f>'Formato 5'!C12</f>
        <v>0</v>
      </c>
      <c r="R6" s="18">
        <f>'Formato 5'!D12</f>
        <v>24947117.699999999</v>
      </c>
      <c r="S6" s="18">
        <f>'Formato 5'!E12</f>
        <v>6321448.5800000001</v>
      </c>
      <c r="T6" s="18">
        <f>'Formato 5'!F12</f>
        <v>6321448.5800000001</v>
      </c>
      <c r="U6" s="18">
        <f>'Formato 5'!G12</f>
        <v>-18625669.119999997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4637432.42</v>
      </c>
      <c r="Q7" s="18">
        <f>'Formato 5'!C13</f>
        <v>0</v>
      </c>
      <c r="R7" s="18">
        <f>'Formato 5'!D13</f>
        <v>4637432.42</v>
      </c>
      <c r="S7" s="18">
        <f>'Formato 5'!E13</f>
        <v>1411225.17</v>
      </c>
      <c r="T7" s="18">
        <f>'Formato 5'!F13</f>
        <v>1411225.17</v>
      </c>
      <c r="U7" s="18">
        <f>'Formato 5'!G13</f>
        <v>-3226207.25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6784310</v>
      </c>
      <c r="Q8" s="18">
        <f>'Formato 5'!C14</f>
        <v>0</v>
      </c>
      <c r="R8" s="18">
        <f>'Formato 5'!D14</f>
        <v>6784310</v>
      </c>
      <c r="S8" s="18">
        <f>'Formato 5'!E14</f>
        <v>1624902.84</v>
      </c>
      <c r="T8" s="18">
        <f>'Formato 5'!F14</f>
        <v>1624902.84</v>
      </c>
      <c r="U8" s="18">
        <f>'Formato 5'!G14</f>
        <v>-5159407.16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207848721</v>
      </c>
      <c r="Q10" s="18">
        <f>'Formato 5'!C16</f>
        <v>46864644.980000004</v>
      </c>
      <c r="R10" s="18">
        <f>'Formato 5'!D16</f>
        <v>254713365.97999999</v>
      </c>
      <c r="S10" s="18">
        <f>'Formato 5'!E16</f>
        <v>62218240.57</v>
      </c>
      <c r="T10" s="18">
        <f>'Formato 5'!F16</f>
        <v>62218240.57</v>
      </c>
      <c r="U10" s="18">
        <f>'Formato 5'!G16</f>
        <v>-145630480.43000001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143155540</v>
      </c>
      <c r="Q11" s="18">
        <f>'Formato 5'!C17</f>
        <v>17799922</v>
      </c>
      <c r="R11" s="18">
        <f>'Formato 5'!D17</f>
        <v>160955462</v>
      </c>
      <c r="S11" s="18">
        <f>'Formato 5'!E17</f>
        <v>40185154.770000003</v>
      </c>
      <c r="T11" s="18">
        <f>'Formato 5'!F17</f>
        <v>40185154.770000003</v>
      </c>
      <c r="U11" s="18">
        <f>'Formato 5'!G17</f>
        <v>-102970385.22999999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23933422</v>
      </c>
      <c r="Q12" s="18">
        <f>'Formato 5'!C18</f>
        <v>18416694</v>
      </c>
      <c r="R12" s="18">
        <f>'Formato 5'!D18</f>
        <v>42350116</v>
      </c>
      <c r="S12" s="18">
        <f>'Formato 5'!E18</f>
        <v>11938321.220000001</v>
      </c>
      <c r="T12" s="18">
        <f>'Formato 5'!F18</f>
        <v>11938321.220000001</v>
      </c>
      <c r="U12" s="18">
        <f>'Formato 5'!G18</f>
        <v>-11995100.779999999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10756887</v>
      </c>
      <c r="Q13" s="18">
        <f>'Formato 5'!C19</f>
        <v>1865767</v>
      </c>
      <c r="R13" s="18">
        <f>'Formato 5'!D19</f>
        <v>12622654</v>
      </c>
      <c r="S13" s="18">
        <f>'Formato 5'!E19</f>
        <v>2521782.44</v>
      </c>
      <c r="T13" s="18">
        <f>'Formato 5'!F19</f>
        <v>2521782.44</v>
      </c>
      <c r="U13" s="18">
        <f>'Formato 5'!G19</f>
        <v>-8235104.5600000005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2621960</v>
      </c>
      <c r="Q16" s="18">
        <f>'Formato 5'!C22</f>
        <v>1551970</v>
      </c>
      <c r="R16" s="18">
        <f>'Formato 5'!D22</f>
        <v>4173930</v>
      </c>
      <c r="S16" s="18">
        <f>'Formato 5'!E22</f>
        <v>1098223.28</v>
      </c>
      <c r="T16" s="18">
        <f>'Formato 5'!F22</f>
        <v>1098223.28</v>
      </c>
      <c r="U16" s="18">
        <f>'Formato 5'!G22</f>
        <v>-1523736.72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6174736</v>
      </c>
      <c r="Q19" s="18">
        <f>'Formato 5'!C25</f>
        <v>0</v>
      </c>
      <c r="R19" s="18">
        <f>'Formato 5'!D25</f>
        <v>6174736</v>
      </c>
      <c r="S19" s="18">
        <f>'Formato 5'!E25</f>
        <v>1634095.86</v>
      </c>
      <c r="T19" s="18">
        <f>'Formato 5'!F25</f>
        <v>1634095.86</v>
      </c>
      <c r="U19" s="18">
        <f>'Formato 5'!G25</f>
        <v>-4540640.1399999997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21206176</v>
      </c>
      <c r="Q20" s="18">
        <f>'Formato 5'!C26</f>
        <v>7230291.9800000004</v>
      </c>
      <c r="R20" s="18">
        <f>'Formato 5'!D26</f>
        <v>28436467.98</v>
      </c>
      <c r="S20" s="18">
        <f>'Formato 5'!E26</f>
        <v>4840663</v>
      </c>
      <c r="T20" s="18">
        <f>'Formato 5'!F26</f>
        <v>4840663</v>
      </c>
      <c r="U20" s="18">
        <f>'Formato 5'!G26</f>
        <v>-16365513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3784967</v>
      </c>
      <c r="Q22" s="18">
        <f>'Formato 5'!C28</f>
        <v>-329000</v>
      </c>
      <c r="R22" s="18">
        <f>'Formato 5'!D28</f>
        <v>3455967</v>
      </c>
      <c r="S22" s="18">
        <f>'Formato 5'!E28</f>
        <v>795826.63</v>
      </c>
      <c r="T22" s="18">
        <f>'Formato 5'!F28</f>
        <v>795826.63</v>
      </c>
      <c r="U22" s="18">
        <f>'Formato 5'!G28</f>
        <v>-2989140.37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13121</v>
      </c>
      <c r="Q23" s="18">
        <f>'Formato 5'!C29</f>
        <v>0</v>
      </c>
      <c r="R23" s="18">
        <f>'Formato 5'!D29</f>
        <v>13121</v>
      </c>
      <c r="S23" s="18">
        <f>'Formato 5'!E29</f>
        <v>6617.12</v>
      </c>
      <c r="T23" s="18">
        <f>'Formato 5'!F29</f>
        <v>6617.12</v>
      </c>
      <c r="U23" s="18">
        <f>'Formato 5'!G29</f>
        <v>-6503.88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463313</v>
      </c>
      <c r="Q24" s="18">
        <f>'Formato 5'!C30</f>
        <v>0</v>
      </c>
      <c r="R24" s="18">
        <f>'Formato 5'!D30</f>
        <v>463313</v>
      </c>
      <c r="S24" s="18">
        <f>'Formato 5'!E30</f>
        <v>127962.87</v>
      </c>
      <c r="T24" s="18">
        <f>'Formato 5'!F30</f>
        <v>127962.87</v>
      </c>
      <c r="U24" s="18">
        <f>'Formato 5'!G30</f>
        <v>-335350.13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2504453</v>
      </c>
      <c r="Q25" s="18">
        <f>'Formato 5'!C31</f>
        <v>-329000</v>
      </c>
      <c r="R25" s="18">
        <f>'Formato 5'!D31</f>
        <v>2175453</v>
      </c>
      <c r="S25" s="18">
        <f>'Formato 5'!E31</f>
        <v>585814.88</v>
      </c>
      <c r="T25" s="18">
        <f>'Formato 5'!F31</f>
        <v>585814.88</v>
      </c>
      <c r="U25" s="18">
        <f>'Formato 5'!G31</f>
        <v>-1918638.12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804080</v>
      </c>
      <c r="Q27" s="18">
        <f>'Formato 5'!C33</f>
        <v>0</v>
      </c>
      <c r="R27" s="18">
        <f>'Formato 5'!D33</f>
        <v>804080</v>
      </c>
      <c r="S27" s="18">
        <f>'Formato 5'!E33</f>
        <v>75431.759999999995</v>
      </c>
      <c r="T27" s="18">
        <f>'Formato 5'!F33</f>
        <v>75431.759999999995</v>
      </c>
      <c r="U27" s="18">
        <f>'Formato 5'!G33</f>
        <v>-728648.24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2500000</v>
      </c>
      <c r="R29" s="18">
        <f>'Formato 5'!D35</f>
        <v>2500000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2500000</v>
      </c>
      <c r="R30" s="18">
        <f>'Formato 5'!D36</f>
        <v>2500000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382446509.12</v>
      </c>
      <c r="Q34">
        <f>'Formato 5'!C41</f>
        <v>73682859.170000002</v>
      </c>
      <c r="R34">
        <f>'Formato 5'!D41</f>
        <v>456129368.28999996</v>
      </c>
      <c r="S34">
        <f>'Formato 5'!E41</f>
        <v>162706371.72</v>
      </c>
      <c r="T34">
        <f>'Formato 5'!F41</f>
        <v>162706371.72</v>
      </c>
      <c r="U34">
        <f>'Formato 5'!G41</f>
        <v>-219740137.40000001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211659985</v>
      </c>
      <c r="Q37">
        <f>'Formato 5'!C45</f>
        <v>5802845.04</v>
      </c>
      <c r="R37">
        <f>'Formato 5'!D45</f>
        <v>217462830.04000002</v>
      </c>
      <c r="S37">
        <f>'Formato 5'!E45</f>
        <v>58622994</v>
      </c>
      <c r="T37">
        <f>'Formato 5'!F45</f>
        <v>58622994</v>
      </c>
      <c r="U37">
        <f>'Formato 5'!G45</f>
        <v>-153036991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83371662</v>
      </c>
      <c r="Q40">
        <f>'Formato 5'!C48</f>
        <v>2078042</v>
      </c>
      <c r="R40">
        <f>'Formato 5'!D48</f>
        <v>85449704</v>
      </c>
      <c r="S40">
        <f>'Formato 5'!E48</f>
        <v>25634910</v>
      </c>
      <c r="T40">
        <f>'Formato 5'!F48</f>
        <v>25634910</v>
      </c>
      <c r="U40">
        <f>'Formato 5'!G48</f>
        <v>-57736752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128288323</v>
      </c>
      <c r="Q41">
        <f>'Formato 5'!C49</f>
        <v>3724803.04</v>
      </c>
      <c r="R41">
        <f>'Formato 5'!D49</f>
        <v>132013126.04000001</v>
      </c>
      <c r="S41">
        <f>'Formato 5'!E49</f>
        <v>32988084</v>
      </c>
      <c r="T41">
        <f>'Formato 5'!F49</f>
        <v>32988084</v>
      </c>
      <c r="U41">
        <f>'Formato 5'!G49</f>
        <v>-95300239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3248295.29</v>
      </c>
      <c r="R46">
        <f>'Formato 5'!D54</f>
        <v>3248295.29</v>
      </c>
      <c r="S46">
        <f>'Formato 5'!E54</f>
        <v>432030.04</v>
      </c>
      <c r="T46">
        <f>'Formato 5'!F54</f>
        <v>432030.04</v>
      </c>
      <c r="U46">
        <f>'Formato 5'!G54</f>
        <v>432030.04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3248295.29</v>
      </c>
      <c r="R50">
        <f>'Formato 5'!D58</f>
        <v>3248295.29</v>
      </c>
      <c r="S50">
        <f>'Formato 5'!E58</f>
        <v>432030.04</v>
      </c>
      <c r="T50">
        <f>'Formato 5'!F58</f>
        <v>432030.04</v>
      </c>
      <c r="U50">
        <f>'Formato 5'!G58</f>
        <v>432030.04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211659985</v>
      </c>
      <c r="Q56">
        <f>'Formato 5'!C65</f>
        <v>9051140.3300000001</v>
      </c>
      <c r="R56">
        <f>'Formato 5'!D65</f>
        <v>220711125.33000001</v>
      </c>
      <c r="S56">
        <f>'Formato 5'!E65</f>
        <v>59055024.039999999</v>
      </c>
      <c r="T56">
        <f>'Formato 5'!F65</f>
        <v>59055024.039999999</v>
      </c>
      <c r="U56">
        <f>'Formato 5'!G65</f>
        <v>-152604960.96000001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32558201.52</v>
      </c>
      <c r="R57">
        <f>'Formato 5'!D67</f>
        <v>32558201.52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32558201.52</v>
      </c>
      <c r="R58">
        <f>'Formato 5'!D68</f>
        <v>32558201.52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1</v>
      </c>
      <c r="Q60">
        <f>'Formato 5'!C73</f>
        <v>2000000</v>
      </c>
      <c r="R60">
        <f>'Formato 5'!D73</f>
        <v>2000000</v>
      </c>
      <c r="S60">
        <f>'Formato 5'!E73</f>
        <v>1</v>
      </c>
      <c r="T60">
        <f>'Formato 5'!F73</f>
        <v>3</v>
      </c>
      <c r="U60">
        <f>'Formato 5'!G73</f>
        <v>2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1</v>
      </c>
      <c r="Q61">
        <f>'Formato 5'!C74</f>
        <v>30558201.52</v>
      </c>
      <c r="R61">
        <f>'Formato 5'!D74</f>
        <v>30558201.52</v>
      </c>
      <c r="S61">
        <f>'Formato 5'!E74</f>
        <v>1</v>
      </c>
      <c r="T61">
        <f>'Formato 5'!F74</f>
        <v>3</v>
      </c>
      <c r="U61">
        <f>'Formato 5'!G74</f>
        <v>2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2</v>
      </c>
      <c r="Q62">
        <f>'Formato 5'!C75</f>
        <v>32558201.52</v>
      </c>
      <c r="R62">
        <f>'Formato 5'!D75</f>
        <v>32558201.52</v>
      </c>
      <c r="S62">
        <f>'Formato 5'!E75</f>
        <v>2</v>
      </c>
      <c r="T62">
        <f>'Formato 5'!F75</f>
        <v>6</v>
      </c>
      <c r="U62">
        <f>'Formato 5'!G75</f>
        <v>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56" zoomScale="70" zoomScaleNormal="70" zoomScalePageLayoutView="90" workbookViewId="0">
      <selection activeCell="E84" sqref="E8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1" t="s">
        <v>3277</v>
      </c>
      <c r="B1" s="160"/>
      <c r="C1" s="160"/>
      <c r="D1" s="160"/>
      <c r="E1" s="160"/>
      <c r="F1" s="160"/>
      <c r="G1" s="160"/>
    </row>
    <row r="2" spans="1:7" ht="14.25" x14ac:dyDescent="0.45">
      <c r="A2" s="164" t="str">
        <f>ENTE_PUBLICO_A</f>
        <v>MUNICIPIO DE SILAO DE LA VICTORIA, Gobierno del Estado de Guanajuato (a)</v>
      </c>
      <c r="B2" s="164"/>
      <c r="C2" s="164"/>
      <c r="D2" s="164"/>
      <c r="E2" s="164"/>
      <c r="F2" s="164"/>
      <c r="G2" s="164"/>
    </row>
    <row r="3" spans="1:7" x14ac:dyDescent="0.25">
      <c r="A3" s="165" t="s">
        <v>277</v>
      </c>
      <c r="B3" s="165"/>
      <c r="C3" s="165"/>
      <c r="D3" s="165"/>
      <c r="E3" s="165"/>
      <c r="F3" s="165"/>
      <c r="G3" s="165"/>
    </row>
    <row r="4" spans="1:7" x14ac:dyDescent="0.25">
      <c r="A4" s="165" t="s">
        <v>278</v>
      </c>
      <c r="B4" s="165"/>
      <c r="C4" s="165"/>
      <c r="D4" s="165"/>
      <c r="E4" s="165"/>
      <c r="F4" s="165"/>
      <c r="G4" s="165"/>
    </row>
    <row r="5" spans="1:7" ht="14.25" x14ac:dyDescent="0.45">
      <c r="A5" s="166" t="str">
        <f>TRIMESTRE</f>
        <v>Del 1 de enero al 30 de marzo de 2020 (b)</v>
      </c>
      <c r="B5" s="166"/>
      <c r="C5" s="166"/>
      <c r="D5" s="166"/>
      <c r="E5" s="166"/>
      <c r="F5" s="166"/>
      <c r="G5" s="166"/>
    </row>
    <row r="6" spans="1:7" ht="14.25" x14ac:dyDescent="0.45">
      <c r="A6" s="158" t="s">
        <v>118</v>
      </c>
      <c r="B6" s="158"/>
      <c r="C6" s="158"/>
      <c r="D6" s="158"/>
      <c r="E6" s="158"/>
      <c r="F6" s="158"/>
      <c r="G6" s="158"/>
    </row>
    <row r="7" spans="1:7" ht="15" customHeight="1" x14ac:dyDescent="0.25">
      <c r="A7" s="162" t="s">
        <v>0</v>
      </c>
      <c r="B7" s="162" t="s">
        <v>279</v>
      </c>
      <c r="C7" s="162"/>
      <c r="D7" s="162"/>
      <c r="E7" s="162"/>
      <c r="F7" s="162"/>
      <c r="G7" s="163" t="s">
        <v>280</v>
      </c>
    </row>
    <row r="8" spans="1:7" ht="30" x14ac:dyDescent="0.25">
      <c r="A8" s="162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162"/>
    </row>
    <row r="9" spans="1:7" x14ac:dyDescent="0.25">
      <c r="A9" s="71" t="s">
        <v>285</v>
      </c>
      <c r="B9" s="134">
        <v>382446509.11999995</v>
      </c>
      <c r="C9" s="134">
        <v>75682859.169999987</v>
      </c>
      <c r="D9" s="134">
        <v>458129368.29000002</v>
      </c>
      <c r="E9" s="134">
        <v>100222642.55</v>
      </c>
      <c r="F9" s="134">
        <v>95914633.079999983</v>
      </c>
      <c r="G9" s="134">
        <v>357906725.74000001</v>
      </c>
    </row>
    <row r="10" spans="1:7" x14ac:dyDescent="0.25">
      <c r="A10" s="72" t="s">
        <v>286</v>
      </c>
      <c r="B10" s="134">
        <v>150050373.59999996</v>
      </c>
      <c r="C10" s="134">
        <v>46305644.979999997</v>
      </c>
      <c r="D10" s="134">
        <v>196356018.57999998</v>
      </c>
      <c r="E10" s="134">
        <v>44104018.049999997</v>
      </c>
      <c r="F10" s="134">
        <v>44104018.049999997</v>
      </c>
      <c r="G10" s="134">
        <v>152252000.53</v>
      </c>
    </row>
    <row r="11" spans="1:7" x14ac:dyDescent="0.25">
      <c r="A11" s="73" t="s">
        <v>287</v>
      </c>
      <c r="B11" s="135">
        <v>70335287.849999994</v>
      </c>
      <c r="C11" s="135">
        <v>2143103.59</v>
      </c>
      <c r="D11" s="135">
        <v>72478391.439999998</v>
      </c>
      <c r="E11" s="135">
        <v>13773938.27</v>
      </c>
      <c r="F11" s="135">
        <v>13773938.27</v>
      </c>
      <c r="G11" s="135">
        <v>58704453.170000002</v>
      </c>
    </row>
    <row r="12" spans="1:7" x14ac:dyDescent="0.25">
      <c r="A12" s="73" t="s">
        <v>288</v>
      </c>
      <c r="B12" s="135">
        <v>22483175.949999999</v>
      </c>
      <c r="C12" s="135">
        <v>40033672.770000003</v>
      </c>
      <c r="D12" s="135">
        <v>62516848.719999999</v>
      </c>
      <c r="E12" s="135">
        <v>21521506.440000001</v>
      </c>
      <c r="F12" s="135">
        <v>21521506.440000001</v>
      </c>
      <c r="G12" s="135">
        <v>40995342.280000001</v>
      </c>
    </row>
    <row r="13" spans="1:7" x14ac:dyDescent="0.25">
      <c r="A13" s="73" t="s">
        <v>289</v>
      </c>
      <c r="B13" s="135">
        <v>20550879.399999999</v>
      </c>
      <c r="C13" s="135">
        <v>590709.30000000005</v>
      </c>
      <c r="D13" s="135">
        <v>21141588.699999999</v>
      </c>
      <c r="E13" s="135">
        <v>1003088.85</v>
      </c>
      <c r="F13" s="135">
        <v>1003088.85</v>
      </c>
      <c r="G13" s="135">
        <v>20138499.849999998</v>
      </c>
    </row>
    <row r="14" spans="1:7" x14ac:dyDescent="0.25">
      <c r="A14" s="73" t="s">
        <v>290</v>
      </c>
      <c r="B14" s="135">
        <v>1015940.24</v>
      </c>
      <c r="C14" s="135">
        <v>0</v>
      </c>
      <c r="D14" s="135">
        <v>1015940.24</v>
      </c>
      <c r="E14" s="135">
        <v>246570.08</v>
      </c>
      <c r="F14" s="135">
        <v>246570.08</v>
      </c>
      <c r="G14" s="135">
        <v>769370.16</v>
      </c>
    </row>
    <row r="15" spans="1:7" x14ac:dyDescent="0.25">
      <c r="A15" s="73" t="s">
        <v>291</v>
      </c>
      <c r="B15" s="135">
        <v>35665090.159999996</v>
      </c>
      <c r="C15" s="135">
        <v>3538159.32</v>
      </c>
      <c r="D15" s="135">
        <v>39203249.479999997</v>
      </c>
      <c r="E15" s="135">
        <v>7558914.4100000001</v>
      </c>
      <c r="F15" s="135">
        <v>7558914.4100000001</v>
      </c>
      <c r="G15" s="135">
        <v>31644335.069999997</v>
      </c>
    </row>
    <row r="16" spans="1:7" x14ac:dyDescent="0.25">
      <c r="A16" s="73" t="s">
        <v>292</v>
      </c>
      <c r="B16" s="135"/>
      <c r="C16" s="135"/>
      <c r="D16" s="135">
        <v>0</v>
      </c>
      <c r="E16" s="135"/>
      <c r="F16" s="135"/>
      <c r="G16" s="135">
        <v>0</v>
      </c>
    </row>
    <row r="17" spans="1:7" x14ac:dyDescent="0.25">
      <c r="A17" s="73" t="s">
        <v>293</v>
      </c>
      <c r="B17" s="135"/>
      <c r="C17" s="135"/>
      <c r="D17" s="135">
        <v>0</v>
      </c>
      <c r="E17" s="135"/>
      <c r="F17" s="135"/>
      <c r="G17" s="135">
        <v>0</v>
      </c>
    </row>
    <row r="18" spans="1:7" x14ac:dyDescent="0.25">
      <c r="A18" s="72" t="s">
        <v>294</v>
      </c>
      <c r="B18" s="134">
        <v>39220511</v>
      </c>
      <c r="C18" s="134">
        <v>2223489.2800000003</v>
      </c>
      <c r="D18" s="134">
        <v>41444000.280000001</v>
      </c>
      <c r="E18" s="134">
        <v>11425683.030000001</v>
      </c>
      <c r="F18" s="134">
        <v>9103354.4100000001</v>
      </c>
      <c r="G18" s="134">
        <v>30018317.25</v>
      </c>
    </row>
    <row r="19" spans="1:7" x14ac:dyDescent="0.25">
      <c r="A19" s="73" t="s">
        <v>295</v>
      </c>
      <c r="B19" s="135">
        <v>6130861</v>
      </c>
      <c r="C19" s="135">
        <v>826000</v>
      </c>
      <c r="D19" s="135">
        <v>6956861</v>
      </c>
      <c r="E19" s="135">
        <v>1986058.94</v>
      </c>
      <c r="F19" s="135">
        <v>1741739.51</v>
      </c>
      <c r="G19" s="135">
        <v>4970802.0600000005</v>
      </c>
    </row>
    <row r="20" spans="1:7" x14ac:dyDescent="0.25">
      <c r="A20" s="73" t="s">
        <v>296</v>
      </c>
      <c r="B20" s="135">
        <v>2141750</v>
      </c>
      <c r="C20" s="135">
        <v>0</v>
      </c>
      <c r="D20" s="135">
        <v>2141750</v>
      </c>
      <c r="E20" s="135">
        <v>565233.67000000004</v>
      </c>
      <c r="F20" s="135">
        <v>532028.67000000004</v>
      </c>
      <c r="G20" s="135">
        <v>1576516.33</v>
      </c>
    </row>
    <row r="21" spans="1:7" x14ac:dyDescent="0.25">
      <c r="A21" s="73" t="s">
        <v>297</v>
      </c>
      <c r="B21" s="135">
        <v>80000</v>
      </c>
      <c r="C21" s="135">
        <v>0</v>
      </c>
      <c r="D21" s="135">
        <v>80000</v>
      </c>
      <c r="E21" s="135">
        <v>33322.49</v>
      </c>
      <c r="F21" s="135">
        <v>33322.49</v>
      </c>
      <c r="G21" s="135">
        <v>46677.51</v>
      </c>
    </row>
    <row r="22" spans="1:7" x14ac:dyDescent="0.25">
      <c r="A22" s="73" t="s">
        <v>298</v>
      </c>
      <c r="B22" s="135">
        <v>3896200</v>
      </c>
      <c r="C22" s="135">
        <v>655000</v>
      </c>
      <c r="D22" s="135">
        <v>4551200</v>
      </c>
      <c r="E22" s="135">
        <v>1053651.9099999999</v>
      </c>
      <c r="F22" s="135">
        <v>991024.11</v>
      </c>
      <c r="G22" s="135">
        <v>3497548.09</v>
      </c>
    </row>
    <row r="23" spans="1:7" x14ac:dyDescent="0.25">
      <c r="A23" s="73" t="s">
        <v>299</v>
      </c>
      <c r="B23" s="135">
        <v>17175500</v>
      </c>
      <c r="C23" s="135">
        <v>15000</v>
      </c>
      <c r="D23" s="135">
        <v>17190500</v>
      </c>
      <c r="E23" s="135">
        <v>5375662.4800000004</v>
      </c>
      <c r="F23" s="135">
        <v>3452871.13</v>
      </c>
      <c r="G23" s="135">
        <v>11814837.52</v>
      </c>
    </row>
    <row r="24" spans="1:7" x14ac:dyDescent="0.25">
      <c r="A24" s="73" t="s">
        <v>300</v>
      </c>
      <c r="B24" s="135">
        <v>6870600</v>
      </c>
      <c r="C24" s="135">
        <v>15000</v>
      </c>
      <c r="D24" s="135">
        <v>6885600</v>
      </c>
      <c r="E24" s="135">
        <v>2161595.15</v>
      </c>
      <c r="F24" s="135">
        <v>2110608.5099999998</v>
      </c>
      <c r="G24" s="135">
        <v>4724004.8499999996</v>
      </c>
    </row>
    <row r="25" spans="1:7" x14ac:dyDescent="0.25">
      <c r="A25" s="73" t="s">
        <v>301</v>
      </c>
      <c r="B25" s="135">
        <v>2150600</v>
      </c>
      <c r="C25" s="135">
        <v>577489.28</v>
      </c>
      <c r="D25" s="135">
        <v>2728089.2800000003</v>
      </c>
      <c r="E25" s="135">
        <v>116943.57</v>
      </c>
      <c r="F25" s="135">
        <v>116943.57</v>
      </c>
      <c r="G25" s="135">
        <v>2611145.7100000004</v>
      </c>
    </row>
    <row r="26" spans="1:7" x14ac:dyDescent="0.25">
      <c r="A26" s="73" t="s">
        <v>302</v>
      </c>
      <c r="B26" s="135">
        <v>60000</v>
      </c>
      <c r="C26" s="135">
        <v>0</v>
      </c>
      <c r="D26" s="135">
        <v>60000</v>
      </c>
      <c r="E26" s="135">
        <v>0</v>
      </c>
      <c r="F26" s="135">
        <v>0</v>
      </c>
      <c r="G26" s="135">
        <v>60000</v>
      </c>
    </row>
    <row r="27" spans="1:7" x14ac:dyDescent="0.25">
      <c r="A27" s="73" t="s">
        <v>303</v>
      </c>
      <c r="B27" s="135">
        <v>715000</v>
      </c>
      <c r="C27" s="135">
        <v>135000</v>
      </c>
      <c r="D27" s="135">
        <v>850000</v>
      </c>
      <c r="E27" s="135">
        <v>133214.82</v>
      </c>
      <c r="F27" s="135">
        <v>124816.42</v>
      </c>
      <c r="G27" s="135">
        <v>716785.17999999993</v>
      </c>
    </row>
    <row r="28" spans="1:7" x14ac:dyDescent="0.25">
      <c r="A28" s="72" t="s">
        <v>304</v>
      </c>
      <c r="B28" s="134">
        <v>109194597.07000001</v>
      </c>
      <c r="C28" s="134">
        <v>12105000</v>
      </c>
      <c r="D28" s="134">
        <v>121299597.07000001</v>
      </c>
      <c r="E28" s="134">
        <v>22716568.27</v>
      </c>
      <c r="F28" s="134">
        <v>20744317.149999999</v>
      </c>
      <c r="G28" s="134">
        <v>98583028.799999997</v>
      </c>
    </row>
    <row r="29" spans="1:7" x14ac:dyDescent="0.25">
      <c r="A29" s="73" t="s">
        <v>305</v>
      </c>
      <c r="B29" s="135">
        <v>10424200</v>
      </c>
      <c r="C29" s="135">
        <v>5230000</v>
      </c>
      <c r="D29" s="135">
        <v>15654200</v>
      </c>
      <c r="E29" s="135">
        <v>2853045.41</v>
      </c>
      <c r="F29" s="135">
        <v>2787746.72</v>
      </c>
      <c r="G29" s="135">
        <v>12801154.59</v>
      </c>
    </row>
    <row r="30" spans="1:7" x14ac:dyDescent="0.25">
      <c r="A30" s="73" t="s">
        <v>306</v>
      </c>
      <c r="B30" s="135">
        <v>10841062.4</v>
      </c>
      <c r="C30" s="135">
        <v>2100000</v>
      </c>
      <c r="D30" s="135">
        <v>12941062.4</v>
      </c>
      <c r="E30" s="135">
        <v>2193752.13</v>
      </c>
      <c r="F30" s="135">
        <v>1903752.13</v>
      </c>
      <c r="G30" s="135">
        <v>10747310.27</v>
      </c>
    </row>
    <row r="31" spans="1:7" x14ac:dyDescent="0.25">
      <c r="A31" s="73" t="s">
        <v>307</v>
      </c>
      <c r="B31" s="135">
        <v>10648000</v>
      </c>
      <c r="C31" s="135">
        <v>800000</v>
      </c>
      <c r="D31" s="135">
        <v>11448000</v>
      </c>
      <c r="E31" s="135">
        <v>1649708.56</v>
      </c>
      <c r="F31" s="135">
        <v>1649708.56</v>
      </c>
      <c r="G31" s="135">
        <v>9798291.4399999995</v>
      </c>
    </row>
    <row r="32" spans="1:7" x14ac:dyDescent="0.25">
      <c r="A32" s="73" t="s">
        <v>308</v>
      </c>
      <c r="B32" s="135">
        <v>2680000</v>
      </c>
      <c r="C32" s="135">
        <v>0</v>
      </c>
      <c r="D32" s="135">
        <v>2680000</v>
      </c>
      <c r="E32" s="135">
        <v>1423758.22</v>
      </c>
      <c r="F32" s="135">
        <v>1423758.22</v>
      </c>
      <c r="G32" s="135">
        <v>1256241.78</v>
      </c>
    </row>
    <row r="33" spans="1:7" x14ac:dyDescent="0.25">
      <c r="A33" s="73" t="s">
        <v>309</v>
      </c>
      <c r="B33" s="135">
        <v>26244000</v>
      </c>
      <c r="C33" s="135">
        <v>1765000</v>
      </c>
      <c r="D33" s="135">
        <v>28009000</v>
      </c>
      <c r="E33" s="135">
        <v>2867531.89</v>
      </c>
      <c r="F33" s="135">
        <v>2599322.9</v>
      </c>
      <c r="G33" s="135">
        <v>25141468.109999999</v>
      </c>
    </row>
    <row r="34" spans="1:7" x14ac:dyDescent="0.25">
      <c r="A34" s="73" t="s">
        <v>310</v>
      </c>
      <c r="B34" s="135">
        <v>6610000</v>
      </c>
      <c r="C34" s="135">
        <v>1000000</v>
      </c>
      <c r="D34" s="135">
        <v>7610000</v>
      </c>
      <c r="E34" s="135">
        <v>659600</v>
      </c>
      <c r="F34" s="135">
        <v>659600</v>
      </c>
      <c r="G34" s="135">
        <v>6950400</v>
      </c>
    </row>
    <row r="35" spans="1:7" x14ac:dyDescent="0.25">
      <c r="A35" s="73" t="s">
        <v>311</v>
      </c>
      <c r="B35" s="135">
        <v>1110200</v>
      </c>
      <c r="C35" s="135">
        <v>0</v>
      </c>
      <c r="D35" s="135">
        <v>1110200</v>
      </c>
      <c r="E35" s="135">
        <v>114385.51</v>
      </c>
      <c r="F35" s="135">
        <v>114385.51</v>
      </c>
      <c r="G35" s="135">
        <v>995814.49</v>
      </c>
    </row>
    <row r="36" spans="1:7" x14ac:dyDescent="0.25">
      <c r="A36" s="73" t="s">
        <v>312</v>
      </c>
      <c r="B36" s="135">
        <v>12151000</v>
      </c>
      <c r="C36" s="135">
        <v>1075000</v>
      </c>
      <c r="D36" s="135">
        <v>13226000</v>
      </c>
      <c r="E36" s="135">
        <v>1273164.6399999999</v>
      </c>
      <c r="F36" s="135">
        <v>1075523.72</v>
      </c>
      <c r="G36" s="135">
        <v>11952835.359999999</v>
      </c>
    </row>
    <row r="37" spans="1:7" x14ac:dyDescent="0.25">
      <c r="A37" s="73" t="s">
        <v>313</v>
      </c>
      <c r="B37" s="135">
        <v>28486134.670000002</v>
      </c>
      <c r="C37" s="135">
        <v>135000</v>
      </c>
      <c r="D37" s="135">
        <v>28621134.670000002</v>
      </c>
      <c r="E37" s="135">
        <v>9681621.9100000001</v>
      </c>
      <c r="F37" s="135">
        <v>8530519.3900000006</v>
      </c>
      <c r="G37" s="135">
        <v>18939512.760000002</v>
      </c>
    </row>
    <row r="38" spans="1:7" x14ac:dyDescent="0.25">
      <c r="A38" s="72" t="s">
        <v>314</v>
      </c>
      <c r="B38" s="134">
        <v>43573527.449999996</v>
      </c>
      <c r="C38" s="134">
        <v>10404400</v>
      </c>
      <c r="D38" s="134">
        <v>53977927.449999996</v>
      </c>
      <c r="E38" s="134">
        <v>12095693.51</v>
      </c>
      <c r="F38" s="134">
        <v>12082263.780000001</v>
      </c>
      <c r="G38" s="134">
        <v>41882233.939999998</v>
      </c>
    </row>
    <row r="39" spans="1:7" x14ac:dyDescent="0.25">
      <c r="A39" s="73" t="s">
        <v>315</v>
      </c>
      <c r="B39" s="135">
        <v>26000000</v>
      </c>
      <c r="C39" s="135">
        <v>4626400</v>
      </c>
      <c r="D39" s="135">
        <v>30626400</v>
      </c>
      <c r="E39" s="135">
        <v>6626400</v>
      </c>
      <c r="F39" s="135">
        <v>6626400</v>
      </c>
      <c r="G39" s="135">
        <v>24000000</v>
      </c>
    </row>
    <row r="40" spans="1:7" x14ac:dyDescent="0.25">
      <c r="A40" s="73" t="s">
        <v>316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</row>
    <row r="41" spans="1:7" x14ac:dyDescent="0.25">
      <c r="A41" s="73" t="s">
        <v>317</v>
      </c>
      <c r="B41" s="135">
        <v>3500000</v>
      </c>
      <c r="C41" s="135">
        <v>5778000</v>
      </c>
      <c r="D41" s="135">
        <v>9278000</v>
      </c>
      <c r="E41" s="135">
        <v>1464931.23</v>
      </c>
      <c r="F41" s="135">
        <v>1464931.23</v>
      </c>
      <c r="G41" s="135">
        <v>7813068.7699999996</v>
      </c>
    </row>
    <row r="42" spans="1:7" x14ac:dyDescent="0.25">
      <c r="A42" s="73" t="s">
        <v>318</v>
      </c>
      <c r="B42" s="135">
        <v>7877713.0499999998</v>
      </c>
      <c r="C42" s="135">
        <v>0</v>
      </c>
      <c r="D42" s="135">
        <v>7877713.0499999998</v>
      </c>
      <c r="E42" s="135">
        <v>3044083.04</v>
      </c>
      <c r="F42" s="135">
        <v>3030653.31</v>
      </c>
      <c r="G42" s="135">
        <v>4833630.01</v>
      </c>
    </row>
    <row r="43" spans="1:7" x14ac:dyDescent="0.25">
      <c r="A43" s="73" t="s">
        <v>319</v>
      </c>
      <c r="B43" s="135">
        <v>6195814.4000000004</v>
      </c>
      <c r="C43" s="135">
        <v>0</v>
      </c>
      <c r="D43" s="135">
        <v>6195814.4000000004</v>
      </c>
      <c r="E43" s="135">
        <v>960279.24</v>
      </c>
      <c r="F43" s="135">
        <v>960279.24</v>
      </c>
      <c r="G43" s="135">
        <v>5235535.16</v>
      </c>
    </row>
    <row r="44" spans="1:7" x14ac:dyDescent="0.25">
      <c r="A44" s="73" t="s">
        <v>320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</row>
    <row r="45" spans="1:7" x14ac:dyDescent="0.25">
      <c r="A45" s="73" t="s">
        <v>321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</row>
    <row r="46" spans="1:7" x14ac:dyDescent="0.25">
      <c r="A46" s="73" t="s">
        <v>322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</row>
    <row r="47" spans="1:7" x14ac:dyDescent="0.25">
      <c r="A47" s="73" t="s">
        <v>323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</row>
    <row r="48" spans="1:7" x14ac:dyDescent="0.25">
      <c r="A48" s="72" t="s">
        <v>324</v>
      </c>
      <c r="B48" s="134">
        <v>1257500</v>
      </c>
      <c r="C48" s="134">
        <v>1953000</v>
      </c>
      <c r="D48" s="134">
        <v>3210500</v>
      </c>
      <c r="E48" s="134">
        <v>577724.78</v>
      </c>
      <c r="F48" s="134">
        <v>577724.78</v>
      </c>
      <c r="G48" s="134">
        <v>2632775.2199999997</v>
      </c>
    </row>
    <row r="49" spans="1:7" x14ac:dyDescent="0.25">
      <c r="A49" s="73" t="s">
        <v>325</v>
      </c>
      <c r="B49" s="135">
        <v>567500</v>
      </c>
      <c r="C49" s="135">
        <v>1451000</v>
      </c>
      <c r="D49" s="135">
        <v>2018500</v>
      </c>
      <c r="E49" s="135">
        <v>414918.78</v>
      </c>
      <c r="F49" s="135">
        <v>414918.78</v>
      </c>
      <c r="G49" s="135">
        <v>1603581.22</v>
      </c>
    </row>
    <row r="50" spans="1:7" x14ac:dyDescent="0.25">
      <c r="A50" s="73" t="s">
        <v>326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</row>
    <row r="51" spans="1:7" x14ac:dyDescent="0.25">
      <c r="A51" s="73" t="s">
        <v>327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</row>
    <row r="52" spans="1:7" x14ac:dyDescent="0.25">
      <c r="A52" s="73" t="s">
        <v>328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</row>
    <row r="53" spans="1:7" x14ac:dyDescent="0.25">
      <c r="A53" s="73" t="s">
        <v>329</v>
      </c>
      <c r="B53" s="135">
        <v>0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</row>
    <row r="54" spans="1:7" x14ac:dyDescent="0.25">
      <c r="A54" s="73" t="s">
        <v>330</v>
      </c>
      <c r="B54" s="135">
        <v>440000</v>
      </c>
      <c r="C54" s="135">
        <v>502000</v>
      </c>
      <c r="D54" s="135">
        <v>942000</v>
      </c>
      <c r="E54" s="135">
        <v>162806</v>
      </c>
      <c r="F54" s="135">
        <v>162806</v>
      </c>
      <c r="G54" s="135">
        <v>779194</v>
      </c>
    </row>
    <row r="55" spans="1:7" x14ac:dyDescent="0.25">
      <c r="A55" s="73" t="s">
        <v>331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</row>
    <row r="56" spans="1:7" x14ac:dyDescent="0.25">
      <c r="A56" s="73" t="s">
        <v>332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</row>
    <row r="57" spans="1:7" x14ac:dyDescent="0.25">
      <c r="A57" s="73" t="s">
        <v>333</v>
      </c>
      <c r="B57" s="135">
        <v>250000</v>
      </c>
      <c r="C57" s="135">
        <v>0</v>
      </c>
      <c r="D57" s="135">
        <v>250000</v>
      </c>
      <c r="E57" s="135">
        <v>0</v>
      </c>
      <c r="F57" s="135">
        <v>0</v>
      </c>
      <c r="G57" s="135">
        <v>250000</v>
      </c>
    </row>
    <row r="58" spans="1:7" x14ac:dyDescent="0.25">
      <c r="A58" s="72" t="s">
        <v>334</v>
      </c>
      <c r="B58" s="134">
        <v>2500000</v>
      </c>
      <c r="C58" s="134">
        <v>-114353.09</v>
      </c>
      <c r="D58" s="134">
        <v>2385646.91</v>
      </c>
      <c r="E58" s="134">
        <v>1448820.24</v>
      </c>
      <c r="F58" s="134">
        <v>1448820.24</v>
      </c>
      <c r="G58" s="134">
        <v>936826.67000000016</v>
      </c>
    </row>
    <row r="59" spans="1:7" x14ac:dyDescent="0.25">
      <c r="A59" s="73" t="s">
        <v>335</v>
      </c>
      <c r="B59" s="135">
        <v>2500000</v>
      </c>
      <c r="C59" s="135">
        <v>-114353.09</v>
      </c>
      <c r="D59" s="135">
        <v>2385646.91</v>
      </c>
      <c r="E59" s="135">
        <v>1448820.24</v>
      </c>
      <c r="F59" s="135">
        <v>1448820.24</v>
      </c>
      <c r="G59" s="135">
        <v>936826.67000000016</v>
      </c>
    </row>
    <row r="60" spans="1:7" x14ac:dyDescent="0.25">
      <c r="A60" s="73" t="s">
        <v>336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</row>
    <row r="61" spans="1:7" x14ac:dyDescent="0.25">
      <c r="A61" s="73" t="s">
        <v>337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</row>
    <row r="62" spans="1:7" x14ac:dyDescent="0.25">
      <c r="A62" s="72" t="s">
        <v>338</v>
      </c>
      <c r="B62" s="134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</row>
    <row r="63" spans="1:7" x14ac:dyDescent="0.25">
      <c r="A63" s="73" t="s">
        <v>339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</row>
    <row r="64" spans="1:7" x14ac:dyDescent="0.25">
      <c r="A64" s="73" t="s">
        <v>340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</row>
    <row r="65" spans="1:7" x14ac:dyDescent="0.25">
      <c r="A65" s="73" t="s">
        <v>341</v>
      </c>
      <c r="B65" s="135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</row>
    <row r="66" spans="1:7" x14ac:dyDescent="0.25">
      <c r="A66" s="73" t="s">
        <v>342</v>
      </c>
      <c r="B66" s="135">
        <v>0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</row>
    <row r="67" spans="1:7" x14ac:dyDescent="0.25">
      <c r="A67" s="73" t="s">
        <v>343</v>
      </c>
      <c r="B67" s="135">
        <v>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</row>
    <row r="68" spans="1:7" x14ac:dyDescent="0.25">
      <c r="A68" s="73" t="s">
        <v>3293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</row>
    <row r="69" spans="1:7" x14ac:dyDescent="0.25">
      <c r="A69" s="73" t="s">
        <v>345</v>
      </c>
      <c r="B69" s="135">
        <v>0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</row>
    <row r="70" spans="1:7" x14ac:dyDescent="0.25">
      <c r="A70" s="73" t="s">
        <v>346</v>
      </c>
      <c r="B70" s="135">
        <v>0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</row>
    <row r="71" spans="1:7" x14ac:dyDescent="0.25">
      <c r="A71" s="72" t="s">
        <v>347</v>
      </c>
      <c r="B71" s="134">
        <v>5650000</v>
      </c>
      <c r="C71" s="134">
        <v>2805678</v>
      </c>
      <c r="D71" s="134">
        <v>8455678</v>
      </c>
      <c r="E71" s="134">
        <v>56000</v>
      </c>
      <c r="F71" s="134">
        <v>56000</v>
      </c>
      <c r="G71" s="134">
        <v>8399678</v>
      </c>
    </row>
    <row r="72" spans="1:7" x14ac:dyDescent="0.25">
      <c r="A72" s="73" t="s">
        <v>348</v>
      </c>
      <c r="B72" s="135">
        <v>0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</row>
    <row r="73" spans="1:7" x14ac:dyDescent="0.25">
      <c r="A73" s="73" t="s">
        <v>349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</row>
    <row r="74" spans="1:7" x14ac:dyDescent="0.25">
      <c r="A74" s="73" t="s">
        <v>350</v>
      </c>
      <c r="B74" s="135">
        <v>5650000</v>
      </c>
      <c r="C74" s="135">
        <v>2805678</v>
      </c>
      <c r="D74" s="135">
        <v>8455678</v>
      </c>
      <c r="E74" s="135">
        <v>56000</v>
      </c>
      <c r="F74" s="135">
        <v>56000</v>
      </c>
      <c r="G74" s="135">
        <v>8399678</v>
      </c>
    </row>
    <row r="75" spans="1:7" x14ac:dyDescent="0.25">
      <c r="A75" s="72" t="s">
        <v>351</v>
      </c>
      <c r="B75" s="134">
        <v>31000000</v>
      </c>
      <c r="C75" s="134">
        <v>0</v>
      </c>
      <c r="D75" s="134">
        <v>31000000</v>
      </c>
      <c r="E75" s="134">
        <v>7798134.6699999999</v>
      </c>
      <c r="F75" s="134">
        <v>7798134.6699999999</v>
      </c>
      <c r="G75" s="134">
        <v>23201865.329999998</v>
      </c>
    </row>
    <row r="76" spans="1:7" x14ac:dyDescent="0.25">
      <c r="A76" s="73" t="s">
        <v>352</v>
      </c>
      <c r="B76" s="135">
        <v>29000000</v>
      </c>
      <c r="C76" s="135">
        <v>0</v>
      </c>
      <c r="D76" s="135">
        <v>29000000</v>
      </c>
      <c r="E76" s="135">
        <v>7200000</v>
      </c>
      <c r="F76" s="135">
        <v>7200000</v>
      </c>
      <c r="G76" s="135">
        <v>21800000</v>
      </c>
    </row>
    <row r="77" spans="1:7" x14ac:dyDescent="0.25">
      <c r="A77" s="73" t="s">
        <v>353</v>
      </c>
      <c r="B77" s="135">
        <v>2000000</v>
      </c>
      <c r="C77" s="135">
        <v>0</v>
      </c>
      <c r="D77" s="135">
        <v>2000000</v>
      </c>
      <c r="E77" s="135">
        <v>598134.67000000004</v>
      </c>
      <c r="F77" s="135">
        <v>598134.67000000004</v>
      </c>
      <c r="G77" s="135">
        <v>1401865.33</v>
      </c>
    </row>
    <row r="78" spans="1:7" x14ac:dyDescent="0.25">
      <c r="A78" s="73" t="s">
        <v>354</v>
      </c>
      <c r="B78" s="135">
        <v>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</row>
    <row r="79" spans="1:7" x14ac:dyDescent="0.25">
      <c r="A79" s="73" t="s">
        <v>355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</row>
    <row r="80" spans="1:7" x14ac:dyDescent="0.25">
      <c r="A80" s="73" t="s">
        <v>356</v>
      </c>
      <c r="B80" s="135">
        <v>0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</row>
    <row r="81" spans="1:7" x14ac:dyDescent="0.25">
      <c r="A81" s="73" t="s">
        <v>357</v>
      </c>
      <c r="B81" s="135">
        <v>0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</row>
    <row r="82" spans="1:7" x14ac:dyDescent="0.25">
      <c r="A82" s="73" t="s">
        <v>358</v>
      </c>
      <c r="B82" s="135"/>
      <c r="C82" s="135"/>
      <c r="D82" s="135">
        <v>0</v>
      </c>
      <c r="E82" s="135"/>
      <c r="F82" s="135"/>
      <c r="G82" s="135">
        <v>0</v>
      </c>
    </row>
    <row r="83" spans="1:7" x14ac:dyDescent="0.25">
      <c r="A83" s="74"/>
      <c r="B83" s="70"/>
      <c r="C83" s="70"/>
      <c r="D83" s="70"/>
      <c r="E83" s="70"/>
      <c r="F83" s="70"/>
      <c r="G83" s="70"/>
    </row>
    <row r="84" spans="1:7" x14ac:dyDescent="0.25">
      <c r="A84" s="75" t="s">
        <v>359</v>
      </c>
      <c r="B84" s="134">
        <v>211659985</v>
      </c>
      <c r="C84" s="134">
        <v>39609341.849999994</v>
      </c>
      <c r="D84" s="134">
        <v>251269326.84999996</v>
      </c>
      <c r="E84" s="134">
        <v>53591603.780000001</v>
      </c>
      <c r="F84" s="134">
        <v>53265286.980000004</v>
      </c>
      <c r="G84" s="134">
        <v>197677723.06999999</v>
      </c>
    </row>
    <row r="85" spans="1:7" x14ac:dyDescent="0.25">
      <c r="A85" s="72" t="s">
        <v>286</v>
      </c>
      <c r="B85" s="134">
        <v>102214217.80000001</v>
      </c>
      <c r="C85" s="134">
        <v>2452228.96</v>
      </c>
      <c r="D85" s="134">
        <v>104666446.76000001</v>
      </c>
      <c r="E85" s="134">
        <v>19491965.580000002</v>
      </c>
      <c r="F85" s="134">
        <v>19491965.580000002</v>
      </c>
      <c r="G85" s="134">
        <v>85174481.180000007</v>
      </c>
    </row>
    <row r="86" spans="1:7" x14ac:dyDescent="0.25">
      <c r="A86" s="73" t="s">
        <v>287</v>
      </c>
      <c r="B86" s="135">
        <v>70678863.680000007</v>
      </c>
      <c r="C86" s="135">
        <v>17720.16</v>
      </c>
      <c r="D86" s="135">
        <v>70696583.840000004</v>
      </c>
      <c r="E86" s="135">
        <v>14111865.890000001</v>
      </c>
      <c r="F86" s="135">
        <v>14111865.890000001</v>
      </c>
      <c r="G86" s="135">
        <v>56584717.950000003</v>
      </c>
    </row>
    <row r="87" spans="1:7" x14ac:dyDescent="0.25">
      <c r="A87" s="73" t="s">
        <v>288</v>
      </c>
      <c r="B87" s="135">
        <v>6464719</v>
      </c>
      <c r="C87" s="135">
        <v>722806.13</v>
      </c>
      <c r="D87" s="135">
        <v>7187525.1299999999</v>
      </c>
      <c r="E87" s="135">
        <v>1836082.14</v>
      </c>
      <c r="F87" s="135">
        <v>1836082.14</v>
      </c>
      <c r="G87" s="135">
        <v>5351442.99</v>
      </c>
    </row>
    <row r="88" spans="1:7" x14ac:dyDescent="0.25">
      <c r="A88" s="73" t="s">
        <v>289</v>
      </c>
      <c r="B88" s="135">
        <v>13376022.109999999</v>
      </c>
      <c r="C88" s="135">
        <v>376912.67</v>
      </c>
      <c r="D88" s="135">
        <v>13752934.779999999</v>
      </c>
      <c r="E88" s="135">
        <v>77819.600000000006</v>
      </c>
      <c r="F88" s="135">
        <v>77819.600000000006</v>
      </c>
      <c r="G88" s="135">
        <v>13675115.18</v>
      </c>
    </row>
    <row r="89" spans="1:7" x14ac:dyDescent="0.25">
      <c r="A89" s="73" t="s">
        <v>290</v>
      </c>
      <c r="B89" s="135">
        <v>1000000</v>
      </c>
      <c r="C89" s="135">
        <v>0</v>
      </c>
      <c r="D89" s="135">
        <v>1000000</v>
      </c>
      <c r="E89" s="135">
        <v>0</v>
      </c>
      <c r="F89" s="135">
        <v>0</v>
      </c>
      <c r="G89" s="135">
        <v>1000000</v>
      </c>
    </row>
    <row r="90" spans="1:7" x14ac:dyDescent="0.25">
      <c r="A90" s="73" t="s">
        <v>291</v>
      </c>
      <c r="B90" s="135">
        <v>10694613.01</v>
      </c>
      <c r="C90" s="135">
        <v>1334790</v>
      </c>
      <c r="D90" s="135">
        <v>12029403.01</v>
      </c>
      <c r="E90" s="135">
        <v>3466197.95</v>
      </c>
      <c r="F90" s="135">
        <v>3466197.95</v>
      </c>
      <c r="G90" s="135">
        <v>8563205.0599999987</v>
      </c>
    </row>
    <row r="91" spans="1:7" x14ac:dyDescent="0.25">
      <c r="A91" s="73" t="s">
        <v>292</v>
      </c>
      <c r="B91" s="135">
        <v>0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</row>
    <row r="92" spans="1:7" x14ac:dyDescent="0.25">
      <c r="A92" s="73" t="s">
        <v>293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</row>
    <row r="93" spans="1:7" x14ac:dyDescent="0.25">
      <c r="A93" s="72" t="s">
        <v>294</v>
      </c>
      <c r="B93" s="134">
        <v>9995000</v>
      </c>
      <c r="C93" s="134">
        <v>151000</v>
      </c>
      <c r="D93" s="134">
        <v>10146000</v>
      </c>
      <c r="E93" s="134">
        <v>2819974.69</v>
      </c>
      <c r="F93" s="134">
        <v>2819974.69</v>
      </c>
      <c r="G93" s="134">
        <v>7326025.3100000005</v>
      </c>
    </row>
    <row r="94" spans="1:7" x14ac:dyDescent="0.25">
      <c r="A94" s="73" t="s">
        <v>295</v>
      </c>
      <c r="B94" s="135">
        <v>0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</row>
    <row r="95" spans="1:7" x14ac:dyDescent="0.25">
      <c r="A95" s="73" t="s">
        <v>296</v>
      </c>
      <c r="B95" s="135">
        <v>150000</v>
      </c>
      <c r="C95" s="135">
        <v>0</v>
      </c>
      <c r="D95" s="135">
        <v>150000</v>
      </c>
      <c r="E95" s="135">
        <v>0</v>
      </c>
      <c r="F95" s="135">
        <v>0</v>
      </c>
      <c r="G95" s="135">
        <v>150000</v>
      </c>
    </row>
    <row r="96" spans="1:7" x14ac:dyDescent="0.25">
      <c r="A96" s="73" t="s">
        <v>297</v>
      </c>
      <c r="B96" s="135">
        <v>0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</row>
    <row r="97" spans="1:7" x14ac:dyDescent="0.25">
      <c r="A97" s="73" t="s">
        <v>298</v>
      </c>
      <c r="B97" s="135">
        <v>1000000</v>
      </c>
      <c r="C97" s="135">
        <v>0</v>
      </c>
      <c r="D97" s="135">
        <v>1000000</v>
      </c>
      <c r="E97" s="135">
        <v>365981.16</v>
      </c>
      <c r="F97" s="135">
        <v>365981.16</v>
      </c>
      <c r="G97" s="135">
        <v>634018.84000000008</v>
      </c>
    </row>
    <row r="98" spans="1:7" x14ac:dyDescent="0.25">
      <c r="A98" s="40" t="s">
        <v>299</v>
      </c>
      <c r="B98" s="135">
        <v>0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</row>
    <row r="99" spans="1:7" x14ac:dyDescent="0.25">
      <c r="A99" s="73" t="s">
        <v>300</v>
      </c>
      <c r="B99" s="135">
        <v>8480000</v>
      </c>
      <c r="C99" s="135">
        <v>0</v>
      </c>
      <c r="D99" s="135">
        <v>8480000</v>
      </c>
      <c r="E99" s="135">
        <v>2213135.5299999998</v>
      </c>
      <c r="F99" s="135">
        <v>2213135.5299999998</v>
      </c>
      <c r="G99" s="135">
        <v>6266864.4700000007</v>
      </c>
    </row>
    <row r="100" spans="1:7" x14ac:dyDescent="0.25">
      <c r="A100" s="73" t="s">
        <v>301</v>
      </c>
      <c r="B100" s="135">
        <v>15000</v>
      </c>
      <c r="C100" s="135">
        <v>151000</v>
      </c>
      <c r="D100" s="135">
        <v>166000</v>
      </c>
      <c r="E100" s="135">
        <v>150858</v>
      </c>
      <c r="F100" s="135">
        <v>150858</v>
      </c>
      <c r="G100" s="135">
        <v>15142</v>
      </c>
    </row>
    <row r="101" spans="1:7" x14ac:dyDescent="0.25">
      <c r="A101" s="73" t="s">
        <v>302</v>
      </c>
      <c r="B101" s="135">
        <v>350000</v>
      </c>
      <c r="C101" s="135">
        <v>0</v>
      </c>
      <c r="D101" s="135">
        <v>350000</v>
      </c>
      <c r="E101" s="135">
        <v>90000</v>
      </c>
      <c r="F101" s="135">
        <v>90000</v>
      </c>
      <c r="G101" s="135">
        <v>260000</v>
      </c>
    </row>
    <row r="102" spans="1:7" x14ac:dyDescent="0.25">
      <c r="A102" s="73" t="s">
        <v>303</v>
      </c>
      <c r="B102" s="135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</row>
    <row r="103" spans="1:7" x14ac:dyDescent="0.25">
      <c r="A103" s="72" t="s">
        <v>304</v>
      </c>
      <c r="B103" s="134">
        <v>10489893</v>
      </c>
      <c r="C103" s="134">
        <v>121574.08</v>
      </c>
      <c r="D103" s="134">
        <v>10611467.08</v>
      </c>
      <c r="E103" s="134">
        <v>2949398.19</v>
      </c>
      <c r="F103" s="134">
        <v>2623081.39</v>
      </c>
      <c r="G103" s="134">
        <v>7662068.8900000006</v>
      </c>
    </row>
    <row r="104" spans="1:7" x14ac:dyDescent="0.25">
      <c r="A104" s="73" t="s">
        <v>305</v>
      </c>
      <c r="B104" s="135">
        <v>1000000</v>
      </c>
      <c r="C104" s="135">
        <v>121574.08</v>
      </c>
      <c r="D104" s="135">
        <v>1121574.08</v>
      </c>
      <c r="E104" s="135">
        <v>90007</v>
      </c>
      <c r="F104" s="135">
        <v>90007</v>
      </c>
      <c r="G104" s="135">
        <v>1031567.0800000001</v>
      </c>
    </row>
    <row r="105" spans="1:7" x14ac:dyDescent="0.25">
      <c r="A105" s="73" t="s">
        <v>306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</row>
    <row r="106" spans="1:7" x14ac:dyDescent="0.25">
      <c r="A106" s="73" t="s">
        <v>307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</row>
    <row r="107" spans="1:7" x14ac:dyDescent="0.25">
      <c r="A107" s="73" t="s">
        <v>308</v>
      </c>
      <c r="B107" s="135">
        <v>1000000</v>
      </c>
      <c r="C107" s="135">
        <v>0</v>
      </c>
      <c r="D107" s="135">
        <v>1000000</v>
      </c>
      <c r="E107" s="135">
        <v>27513.31</v>
      </c>
      <c r="F107" s="135">
        <v>27513.31</v>
      </c>
      <c r="G107" s="135">
        <v>972486.69</v>
      </c>
    </row>
    <row r="108" spans="1:7" x14ac:dyDescent="0.25">
      <c r="A108" s="73" t="s">
        <v>309</v>
      </c>
      <c r="B108" s="135">
        <v>4615000</v>
      </c>
      <c r="C108" s="135">
        <v>0</v>
      </c>
      <c r="D108" s="135">
        <v>4615000</v>
      </c>
      <c r="E108" s="135">
        <v>2445353.88</v>
      </c>
      <c r="F108" s="135">
        <v>2119037.08</v>
      </c>
      <c r="G108" s="135">
        <v>2169646.12</v>
      </c>
    </row>
    <row r="109" spans="1:7" x14ac:dyDescent="0.25">
      <c r="A109" s="73" t="s">
        <v>310</v>
      </c>
      <c r="B109" s="135">
        <v>0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</row>
    <row r="110" spans="1:7" x14ac:dyDescent="0.25">
      <c r="A110" s="73" t="s">
        <v>311</v>
      </c>
      <c r="B110" s="135">
        <v>0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</row>
    <row r="111" spans="1:7" x14ac:dyDescent="0.25">
      <c r="A111" s="73" t="s">
        <v>312</v>
      </c>
      <c r="B111" s="135">
        <v>0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</row>
    <row r="112" spans="1:7" x14ac:dyDescent="0.25">
      <c r="A112" s="73" t="s">
        <v>313</v>
      </c>
      <c r="B112" s="135">
        <v>3874893</v>
      </c>
      <c r="C112" s="135">
        <v>0</v>
      </c>
      <c r="D112" s="135">
        <v>3874893</v>
      </c>
      <c r="E112" s="135">
        <v>386524</v>
      </c>
      <c r="F112" s="135">
        <v>386524</v>
      </c>
      <c r="G112" s="135">
        <v>3488369</v>
      </c>
    </row>
    <row r="113" spans="1:7" x14ac:dyDescent="0.25">
      <c r="A113" s="72" t="s">
        <v>314</v>
      </c>
      <c r="B113" s="134">
        <v>0</v>
      </c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</row>
    <row r="114" spans="1:7" x14ac:dyDescent="0.25">
      <c r="A114" s="73" t="s">
        <v>315</v>
      </c>
      <c r="B114" s="135">
        <v>0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</row>
    <row r="115" spans="1:7" x14ac:dyDescent="0.25">
      <c r="A115" s="73" t="s">
        <v>316</v>
      </c>
      <c r="B115" s="135">
        <v>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</row>
    <row r="116" spans="1:7" x14ac:dyDescent="0.25">
      <c r="A116" s="73" t="s">
        <v>317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</row>
    <row r="117" spans="1:7" x14ac:dyDescent="0.25">
      <c r="A117" s="73" t="s">
        <v>318</v>
      </c>
      <c r="B117" s="135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</row>
    <row r="118" spans="1:7" x14ac:dyDescent="0.25">
      <c r="A118" s="73" t="s">
        <v>319</v>
      </c>
      <c r="B118" s="135">
        <v>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</row>
    <row r="119" spans="1:7" x14ac:dyDescent="0.25">
      <c r="A119" s="73" t="s">
        <v>320</v>
      </c>
      <c r="B119" s="135">
        <v>0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</row>
    <row r="120" spans="1:7" x14ac:dyDescent="0.25">
      <c r="A120" s="73" t="s">
        <v>321</v>
      </c>
      <c r="B120" s="135">
        <v>0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</row>
    <row r="121" spans="1:7" x14ac:dyDescent="0.25">
      <c r="A121" s="73" t="s">
        <v>322</v>
      </c>
      <c r="B121" s="135">
        <v>0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</row>
    <row r="122" spans="1:7" x14ac:dyDescent="0.25">
      <c r="A122" s="73" t="s">
        <v>323</v>
      </c>
      <c r="B122" s="135">
        <v>0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</row>
    <row r="123" spans="1:7" x14ac:dyDescent="0.25">
      <c r="A123" s="72" t="s">
        <v>324</v>
      </c>
      <c r="B123" s="134">
        <v>0</v>
      </c>
      <c r="C123" s="134">
        <v>1000000</v>
      </c>
      <c r="D123" s="134">
        <v>1000000</v>
      </c>
      <c r="E123" s="134">
        <v>0</v>
      </c>
      <c r="F123" s="134">
        <v>0</v>
      </c>
      <c r="G123" s="134">
        <v>1000000</v>
      </c>
    </row>
    <row r="124" spans="1:7" x14ac:dyDescent="0.25">
      <c r="A124" s="73" t="s">
        <v>325</v>
      </c>
      <c r="B124" s="135">
        <v>0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</row>
    <row r="125" spans="1:7" x14ac:dyDescent="0.25">
      <c r="A125" s="73" t="s">
        <v>326</v>
      </c>
      <c r="B125" s="135">
        <v>0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</row>
    <row r="126" spans="1:7" x14ac:dyDescent="0.25">
      <c r="A126" s="73" t="s">
        <v>327</v>
      </c>
      <c r="B126" s="135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</row>
    <row r="127" spans="1:7" x14ac:dyDescent="0.25">
      <c r="A127" s="73" t="s">
        <v>328</v>
      </c>
      <c r="B127" s="135">
        <v>0</v>
      </c>
      <c r="C127" s="135">
        <v>1000000</v>
      </c>
      <c r="D127" s="135">
        <v>1000000</v>
      </c>
      <c r="E127" s="135">
        <v>0</v>
      </c>
      <c r="F127" s="135">
        <v>0</v>
      </c>
      <c r="G127" s="135">
        <v>1000000</v>
      </c>
    </row>
    <row r="128" spans="1:7" x14ac:dyDescent="0.25">
      <c r="A128" s="73" t="s">
        <v>329</v>
      </c>
      <c r="B128" s="135">
        <v>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</row>
    <row r="129" spans="1:7" x14ac:dyDescent="0.25">
      <c r="A129" s="73" t="s">
        <v>330</v>
      </c>
      <c r="B129" s="135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</row>
    <row r="130" spans="1:7" x14ac:dyDescent="0.25">
      <c r="A130" s="73" t="s">
        <v>331</v>
      </c>
      <c r="B130" s="135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</row>
    <row r="131" spans="1:7" x14ac:dyDescent="0.25">
      <c r="A131" s="73" t="s">
        <v>332</v>
      </c>
      <c r="B131" s="135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</row>
    <row r="132" spans="1:7" x14ac:dyDescent="0.25">
      <c r="A132" s="73" t="s">
        <v>333</v>
      </c>
      <c r="B132" s="135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</row>
    <row r="133" spans="1:7" x14ac:dyDescent="0.25">
      <c r="A133" s="72" t="s">
        <v>334</v>
      </c>
      <c r="B133" s="134">
        <v>83371662</v>
      </c>
      <c r="C133" s="134">
        <v>35711297.049999997</v>
      </c>
      <c r="D133" s="134">
        <v>119082959.05</v>
      </c>
      <c r="E133" s="134">
        <v>27049671.239999998</v>
      </c>
      <c r="F133" s="134">
        <v>27049671.239999998</v>
      </c>
      <c r="G133" s="134">
        <v>92033287.810000002</v>
      </c>
    </row>
    <row r="134" spans="1:7" x14ac:dyDescent="0.25">
      <c r="A134" s="73" t="s">
        <v>335</v>
      </c>
      <c r="B134" s="135">
        <v>83371662</v>
      </c>
      <c r="C134" s="135">
        <v>35711297.049999997</v>
      </c>
      <c r="D134" s="135">
        <v>119082959.05</v>
      </c>
      <c r="E134" s="135">
        <v>27049671.239999998</v>
      </c>
      <c r="F134" s="135">
        <v>27049671.239999998</v>
      </c>
      <c r="G134" s="135">
        <v>92033287.810000002</v>
      </c>
    </row>
    <row r="135" spans="1:7" x14ac:dyDescent="0.25">
      <c r="A135" s="73" t="s">
        <v>336</v>
      </c>
      <c r="B135" s="135">
        <v>0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</row>
    <row r="136" spans="1:7" x14ac:dyDescent="0.25">
      <c r="A136" s="73" t="s">
        <v>337</v>
      </c>
      <c r="B136" s="135">
        <v>0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</row>
    <row r="137" spans="1:7" x14ac:dyDescent="0.25">
      <c r="A137" s="72" t="s">
        <v>338</v>
      </c>
      <c r="B137" s="134">
        <v>0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</row>
    <row r="138" spans="1:7" x14ac:dyDescent="0.25">
      <c r="A138" s="73" t="s">
        <v>339</v>
      </c>
      <c r="B138" s="135">
        <v>0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</row>
    <row r="139" spans="1:7" x14ac:dyDescent="0.25">
      <c r="A139" s="73" t="s">
        <v>340</v>
      </c>
      <c r="B139" s="135">
        <v>0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</row>
    <row r="140" spans="1:7" x14ac:dyDescent="0.25">
      <c r="A140" s="73" t="s">
        <v>341</v>
      </c>
      <c r="B140" s="135">
        <v>0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</row>
    <row r="141" spans="1:7" x14ac:dyDescent="0.25">
      <c r="A141" s="73" t="s">
        <v>342</v>
      </c>
      <c r="B141" s="135">
        <v>0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</row>
    <row r="142" spans="1:7" x14ac:dyDescent="0.25">
      <c r="A142" s="73" t="s">
        <v>343</v>
      </c>
      <c r="B142" s="135">
        <v>0</v>
      </c>
      <c r="C142" s="135">
        <v>0</v>
      </c>
      <c r="D142" s="135">
        <v>0</v>
      </c>
      <c r="E142" s="135">
        <v>0</v>
      </c>
      <c r="F142" s="135">
        <v>0</v>
      </c>
      <c r="G142" s="135">
        <v>0</v>
      </c>
    </row>
    <row r="143" spans="1:7" x14ac:dyDescent="0.25">
      <c r="A143" s="73" t="s">
        <v>3293</v>
      </c>
      <c r="B143" s="135">
        <v>0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</row>
    <row r="144" spans="1:7" x14ac:dyDescent="0.25">
      <c r="A144" s="73" t="s">
        <v>345</v>
      </c>
      <c r="B144" s="135">
        <v>0</v>
      </c>
      <c r="C144" s="135">
        <v>0</v>
      </c>
      <c r="D144" s="135">
        <v>0</v>
      </c>
      <c r="E144" s="135">
        <v>0</v>
      </c>
      <c r="F144" s="135">
        <v>0</v>
      </c>
      <c r="G144" s="135">
        <v>0</v>
      </c>
    </row>
    <row r="145" spans="1:7" x14ac:dyDescent="0.25">
      <c r="A145" s="73" t="s">
        <v>346</v>
      </c>
      <c r="B145" s="135">
        <v>0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</row>
    <row r="146" spans="1:7" x14ac:dyDescent="0.25">
      <c r="A146" s="72" t="s">
        <v>347</v>
      </c>
      <c r="B146" s="134">
        <v>0</v>
      </c>
      <c r="C146" s="134">
        <v>173241.76</v>
      </c>
      <c r="D146" s="134">
        <v>173241.76</v>
      </c>
      <c r="E146" s="134">
        <v>0</v>
      </c>
      <c r="F146" s="134">
        <v>0</v>
      </c>
      <c r="G146" s="134">
        <v>173241.76</v>
      </c>
    </row>
    <row r="147" spans="1:7" x14ac:dyDescent="0.25">
      <c r="A147" s="73" t="s">
        <v>348</v>
      </c>
      <c r="B147" s="135">
        <v>0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</row>
    <row r="148" spans="1:7" x14ac:dyDescent="0.25">
      <c r="A148" s="73" t="s">
        <v>349</v>
      </c>
      <c r="B148" s="135">
        <v>0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</row>
    <row r="149" spans="1:7" x14ac:dyDescent="0.25">
      <c r="A149" s="73" t="s">
        <v>350</v>
      </c>
      <c r="B149" s="135">
        <v>0</v>
      </c>
      <c r="C149" s="135">
        <v>173241.76</v>
      </c>
      <c r="D149" s="135">
        <v>173241.76</v>
      </c>
      <c r="E149" s="135">
        <v>0</v>
      </c>
      <c r="F149" s="135">
        <v>0</v>
      </c>
      <c r="G149" s="135">
        <v>173241.76</v>
      </c>
    </row>
    <row r="150" spans="1:7" x14ac:dyDescent="0.25">
      <c r="A150" s="72" t="s">
        <v>351</v>
      </c>
      <c r="B150" s="134">
        <v>5589212.2000000002</v>
      </c>
      <c r="C150" s="134">
        <v>0</v>
      </c>
      <c r="D150" s="134">
        <v>5589212.2000000002</v>
      </c>
      <c r="E150" s="134">
        <v>1280594.08</v>
      </c>
      <c r="F150" s="134">
        <v>1280594.08</v>
      </c>
      <c r="G150" s="134">
        <v>4308618.12</v>
      </c>
    </row>
    <row r="151" spans="1:7" x14ac:dyDescent="0.25">
      <c r="A151" s="73" t="s">
        <v>352</v>
      </c>
      <c r="B151" s="135">
        <v>3744000</v>
      </c>
      <c r="C151" s="135">
        <v>0</v>
      </c>
      <c r="D151" s="135">
        <v>3744000</v>
      </c>
      <c r="E151" s="135">
        <v>936000</v>
      </c>
      <c r="F151" s="135">
        <v>936000</v>
      </c>
      <c r="G151" s="135">
        <v>2808000</v>
      </c>
    </row>
    <row r="152" spans="1:7" x14ac:dyDescent="0.25">
      <c r="A152" s="73" t="s">
        <v>353</v>
      </c>
      <c r="B152" s="135">
        <v>1845212.2</v>
      </c>
      <c r="C152" s="135">
        <v>0</v>
      </c>
      <c r="D152" s="135">
        <v>1845212.2</v>
      </c>
      <c r="E152" s="135">
        <v>344594.08</v>
      </c>
      <c r="F152" s="135">
        <v>344594.08</v>
      </c>
      <c r="G152" s="135">
        <v>1500618.1199999999</v>
      </c>
    </row>
    <row r="153" spans="1:7" x14ac:dyDescent="0.25">
      <c r="A153" s="73" t="s">
        <v>354</v>
      </c>
      <c r="B153" s="135">
        <v>0</v>
      </c>
      <c r="C153" s="135">
        <v>0</v>
      </c>
      <c r="D153" s="135">
        <v>0</v>
      </c>
      <c r="E153" s="135">
        <v>0</v>
      </c>
      <c r="F153" s="135">
        <v>0</v>
      </c>
      <c r="G153" s="135">
        <f t="shared" ref="G153:G157" si="0">D153-E153</f>
        <v>0</v>
      </c>
    </row>
    <row r="154" spans="1:7" x14ac:dyDescent="0.25">
      <c r="A154" s="40" t="s">
        <v>355</v>
      </c>
      <c r="B154" s="135">
        <v>0</v>
      </c>
      <c r="C154" s="135">
        <v>0</v>
      </c>
      <c r="D154" s="135">
        <v>0</v>
      </c>
      <c r="E154" s="135">
        <v>0</v>
      </c>
      <c r="F154" s="135">
        <v>0</v>
      </c>
      <c r="G154" s="135">
        <f t="shared" si="0"/>
        <v>0</v>
      </c>
    </row>
    <row r="155" spans="1:7" x14ac:dyDescent="0.25">
      <c r="A155" s="73" t="s">
        <v>356</v>
      </c>
      <c r="B155" s="135">
        <v>0</v>
      </c>
      <c r="C155" s="135">
        <v>0</v>
      </c>
      <c r="D155" s="135">
        <v>0</v>
      </c>
      <c r="E155" s="135">
        <v>0</v>
      </c>
      <c r="F155" s="135">
        <v>0</v>
      </c>
      <c r="G155" s="135">
        <f t="shared" si="0"/>
        <v>0</v>
      </c>
    </row>
    <row r="156" spans="1:7" x14ac:dyDescent="0.25">
      <c r="A156" s="73" t="s">
        <v>357</v>
      </c>
      <c r="B156" s="135">
        <v>0</v>
      </c>
      <c r="C156" s="135">
        <v>0</v>
      </c>
      <c r="D156" s="135">
        <v>0</v>
      </c>
      <c r="E156" s="135">
        <v>0</v>
      </c>
      <c r="F156" s="135">
        <v>0</v>
      </c>
      <c r="G156" s="135">
        <f t="shared" si="0"/>
        <v>0</v>
      </c>
    </row>
    <row r="157" spans="1:7" x14ac:dyDescent="0.25">
      <c r="A157" s="73" t="s">
        <v>358</v>
      </c>
      <c r="B157" s="135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f t="shared" si="0"/>
        <v>0</v>
      </c>
    </row>
    <row r="158" spans="1:7" x14ac:dyDescent="0.25">
      <c r="A158" s="41"/>
      <c r="B158" s="70"/>
      <c r="C158" s="70"/>
      <c r="D158" s="70"/>
      <c r="E158" s="70"/>
      <c r="F158" s="70"/>
      <c r="G158" s="70"/>
    </row>
    <row r="159" spans="1:7" x14ac:dyDescent="0.25">
      <c r="A159" s="42" t="s">
        <v>360</v>
      </c>
      <c r="B159" s="134">
        <f>B9+B84</f>
        <v>594106494.11999989</v>
      </c>
      <c r="C159" s="134">
        <f t="shared" ref="C159:G159" si="1">C9+C84</f>
        <v>115292201.01999998</v>
      </c>
      <c r="D159" s="134">
        <f t="shared" si="1"/>
        <v>709398695.13999999</v>
      </c>
      <c r="E159" s="134">
        <f t="shared" si="1"/>
        <v>153814246.32999998</v>
      </c>
      <c r="F159" s="134">
        <f t="shared" si="1"/>
        <v>149179920.06</v>
      </c>
      <c r="G159" s="134">
        <f t="shared" si="1"/>
        <v>555584448.80999994</v>
      </c>
    </row>
    <row r="160" spans="1:7" x14ac:dyDescent="0.25">
      <c r="A160" s="63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382446509.11999995</v>
      </c>
      <c r="Q2" s="18">
        <f>'Formato 6 a)'!C9</f>
        <v>75682859.169999987</v>
      </c>
      <c r="R2" s="18">
        <f>'Formato 6 a)'!D9</f>
        <v>458129368.29000002</v>
      </c>
      <c r="S2" s="18">
        <f>'Formato 6 a)'!E9</f>
        <v>100222642.55</v>
      </c>
      <c r="T2" s="18">
        <f>'Formato 6 a)'!F9</f>
        <v>95914633.079999983</v>
      </c>
      <c r="U2" s="18">
        <f>'Formato 6 a)'!G9</f>
        <v>357906725.74000001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150050373.59999996</v>
      </c>
      <c r="Q3" s="18">
        <f>'Formato 6 a)'!C10</f>
        <v>46305644.979999997</v>
      </c>
      <c r="R3" s="18">
        <f>'Formato 6 a)'!D10</f>
        <v>196356018.57999998</v>
      </c>
      <c r="S3" s="18">
        <f>'Formato 6 a)'!E10</f>
        <v>44104018.049999997</v>
      </c>
      <c r="T3" s="18">
        <f>'Formato 6 a)'!F10</f>
        <v>44104018.049999997</v>
      </c>
      <c r="U3" s="18">
        <f>'Formato 6 a)'!G10</f>
        <v>152252000.53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70335287.849999994</v>
      </c>
      <c r="Q4" s="18">
        <f>'Formato 6 a)'!C11</f>
        <v>2143103.59</v>
      </c>
      <c r="R4" s="18">
        <f>'Formato 6 a)'!D11</f>
        <v>72478391.439999998</v>
      </c>
      <c r="S4" s="18">
        <f>'Formato 6 a)'!E11</f>
        <v>13773938.27</v>
      </c>
      <c r="T4" s="18">
        <f>'Formato 6 a)'!F11</f>
        <v>13773938.27</v>
      </c>
      <c r="U4" s="18">
        <f>'Formato 6 a)'!G11</f>
        <v>58704453.170000002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22483175.949999999</v>
      </c>
      <c r="Q5" s="18">
        <f>'Formato 6 a)'!C12</f>
        <v>40033672.770000003</v>
      </c>
      <c r="R5" s="18">
        <f>'Formato 6 a)'!D12</f>
        <v>62516848.719999999</v>
      </c>
      <c r="S5" s="18">
        <f>'Formato 6 a)'!E12</f>
        <v>21521506.440000001</v>
      </c>
      <c r="T5" s="18">
        <f>'Formato 6 a)'!F12</f>
        <v>21521506.440000001</v>
      </c>
      <c r="U5" s="18">
        <f>'Formato 6 a)'!G12</f>
        <v>40995342.280000001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20550879.399999999</v>
      </c>
      <c r="Q6" s="18">
        <f>'Formato 6 a)'!C13</f>
        <v>590709.30000000005</v>
      </c>
      <c r="R6" s="18">
        <f>'Formato 6 a)'!D13</f>
        <v>21141588.699999999</v>
      </c>
      <c r="S6" s="18">
        <f>'Formato 6 a)'!E13</f>
        <v>1003088.85</v>
      </c>
      <c r="T6" s="18">
        <f>'Formato 6 a)'!F13</f>
        <v>1003088.85</v>
      </c>
      <c r="U6" s="18">
        <f>'Formato 6 a)'!G13</f>
        <v>20138499.849999998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1015940.24</v>
      </c>
      <c r="Q7" s="18">
        <f>'Formato 6 a)'!C14</f>
        <v>0</v>
      </c>
      <c r="R7" s="18">
        <f>'Formato 6 a)'!D14</f>
        <v>1015940.24</v>
      </c>
      <c r="S7" s="18">
        <f>'Formato 6 a)'!E14</f>
        <v>246570.08</v>
      </c>
      <c r="T7" s="18">
        <f>'Formato 6 a)'!F14</f>
        <v>246570.08</v>
      </c>
      <c r="U7" s="18">
        <f>'Formato 6 a)'!G14</f>
        <v>769370.16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35665090.159999996</v>
      </c>
      <c r="Q8" s="18">
        <f>'Formato 6 a)'!C15</f>
        <v>3538159.32</v>
      </c>
      <c r="R8" s="18">
        <f>'Formato 6 a)'!D15</f>
        <v>39203249.479999997</v>
      </c>
      <c r="S8" s="18">
        <f>'Formato 6 a)'!E15</f>
        <v>7558914.4100000001</v>
      </c>
      <c r="T8" s="18">
        <f>'Formato 6 a)'!F15</f>
        <v>7558914.4100000001</v>
      </c>
      <c r="U8" s="18">
        <f>'Formato 6 a)'!G15</f>
        <v>31644335.069999997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39220511</v>
      </c>
      <c r="Q11" s="18">
        <f>'Formato 6 a)'!C18</f>
        <v>2223489.2800000003</v>
      </c>
      <c r="R11" s="18">
        <f>'Formato 6 a)'!D18</f>
        <v>41444000.280000001</v>
      </c>
      <c r="S11" s="18">
        <f>'Formato 6 a)'!E18</f>
        <v>11425683.030000001</v>
      </c>
      <c r="T11" s="18">
        <f>'Formato 6 a)'!F18</f>
        <v>9103354.4100000001</v>
      </c>
      <c r="U11" s="18">
        <f>'Formato 6 a)'!G18</f>
        <v>30018317.25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6130861</v>
      </c>
      <c r="Q12" s="18">
        <f>'Formato 6 a)'!C19</f>
        <v>826000</v>
      </c>
      <c r="R12" s="18">
        <f>'Formato 6 a)'!D19</f>
        <v>6956861</v>
      </c>
      <c r="S12" s="18">
        <f>'Formato 6 a)'!E19</f>
        <v>1986058.94</v>
      </c>
      <c r="T12" s="18">
        <f>'Formato 6 a)'!F19</f>
        <v>1741739.51</v>
      </c>
      <c r="U12" s="18">
        <f>'Formato 6 a)'!G19</f>
        <v>4970802.0600000005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2141750</v>
      </c>
      <c r="Q13" s="18">
        <f>'Formato 6 a)'!C20</f>
        <v>0</v>
      </c>
      <c r="R13" s="18">
        <f>'Formato 6 a)'!D20</f>
        <v>2141750</v>
      </c>
      <c r="S13" s="18">
        <f>'Formato 6 a)'!E20</f>
        <v>565233.67000000004</v>
      </c>
      <c r="T13" s="18">
        <f>'Formato 6 a)'!F20</f>
        <v>532028.67000000004</v>
      </c>
      <c r="U13" s="18">
        <f>'Formato 6 a)'!G20</f>
        <v>1576516.33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80000</v>
      </c>
      <c r="Q14" s="18">
        <f>'Formato 6 a)'!C21</f>
        <v>0</v>
      </c>
      <c r="R14" s="18">
        <f>'Formato 6 a)'!D21</f>
        <v>80000</v>
      </c>
      <c r="S14" s="18">
        <f>'Formato 6 a)'!E21</f>
        <v>33322.49</v>
      </c>
      <c r="T14" s="18">
        <f>'Formato 6 a)'!F21</f>
        <v>33322.49</v>
      </c>
      <c r="U14" s="18">
        <f>'Formato 6 a)'!G21</f>
        <v>46677.51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3896200</v>
      </c>
      <c r="Q15" s="18">
        <f>'Formato 6 a)'!C22</f>
        <v>655000</v>
      </c>
      <c r="R15" s="18">
        <f>'Formato 6 a)'!D22</f>
        <v>4551200</v>
      </c>
      <c r="S15" s="18">
        <f>'Formato 6 a)'!E22</f>
        <v>1053651.9099999999</v>
      </c>
      <c r="T15" s="18">
        <f>'Formato 6 a)'!F22</f>
        <v>991024.11</v>
      </c>
      <c r="U15" s="18">
        <f>'Formato 6 a)'!G22</f>
        <v>3497548.09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17175500</v>
      </c>
      <c r="Q16" s="18">
        <f>'Formato 6 a)'!C23</f>
        <v>15000</v>
      </c>
      <c r="R16" s="18">
        <f>'Formato 6 a)'!D23</f>
        <v>17190500</v>
      </c>
      <c r="S16" s="18">
        <f>'Formato 6 a)'!E23</f>
        <v>5375662.4800000004</v>
      </c>
      <c r="T16" s="18">
        <f>'Formato 6 a)'!F23</f>
        <v>3452871.13</v>
      </c>
      <c r="U16" s="18">
        <f>'Formato 6 a)'!G23</f>
        <v>11814837.52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6870600</v>
      </c>
      <c r="Q17" s="18">
        <f>'Formato 6 a)'!C24</f>
        <v>15000</v>
      </c>
      <c r="R17" s="18">
        <f>'Formato 6 a)'!D24</f>
        <v>6885600</v>
      </c>
      <c r="S17" s="18">
        <f>'Formato 6 a)'!E24</f>
        <v>2161595.15</v>
      </c>
      <c r="T17" s="18">
        <f>'Formato 6 a)'!F24</f>
        <v>2110608.5099999998</v>
      </c>
      <c r="U17" s="18">
        <f>'Formato 6 a)'!G24</f>
        <v>4724004.8499999996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2150600</v>
      </c>
      <c r="Q18" s="18">
        <f>'Formato 6 a)'!C25</f>
        <v>577489.28</v>
      </c>
      <c r="R18" s="18">
        <f>'Formato 6 a)'!D25</f>
        <v>2728089.2800000003</v>
      </c>
      <c r="S18" s="18">
        <f>'Formato 6 a)'!E25</f>
        <v>116943.57</v>
      </c>
      <c r="T18" s="18">
        <f>'Formato 6 a)'!F25</f>
        <v>116943.57</v>
      </c>
      <c r="U18" s="18">
        <f>'Formato 6 a)'!G25</f>
        <v>2611145.7100000004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60000</v>
      </c>
      <c r="Q19" s="18">
        <f>'Formato 6 a)'!C26</f>
        <v>0</v>
      </c>
      <c r="R19" s="18">
        <f>'Formato 6 a)'!D26</f>
        <v>60000</v>
      </c>
      <c r="S19" s="18">
        <f>'Formato 6 a)'!E26</f>
        <v>0</v>
      </c>
      <c r="T19" s="18">
        <f>'Formato 6 a)'!F26</f>
        <v>0</v>
      </c>
      <c r="U19" s="18">
        <f>'Formato 6 a)'!G26</f>
        <v>60000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715000</v>
      </c>
      <c r="Q20" s="18">
        <f>'Formato 6 a)'!C27</f>
        <v>135000</v>
      </c>
      <c r="R20" s="18">
        <f>'Formato 6 a)'!D27</f>
        <v>850000</v>
      </c>
      <c r="S20" s="18">
        <f>'Formato 6 a)'!E27</f>
        <v>133214.82</v>
      </c>
      <c r="T20" s="18">
        <f>'Formato 6 a)'!F27</f>
        <v>124816.42</v>
      </c>
      <c r="U20" s="18">
        <f>'Formato 6 a)'!G27</f>
        <v>716785.17999999993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109194597.07000001</v>
      </c>
      <c r="Q21" s="18">
        <f>'Formato 6 a)'!C28</f>
        <v>12105000</v>
      </c>
      <c r="R21" s="18">
        <f>'Formato 6 a)'!D28</f>
        <v>121299597.07000001</v>
      </c>
      <c r="S21" s="18">
        <f>'Formato 6 a)'!E28</f>
        <v>22716568.27</v>
      </c>
      <c r="T21" s="18">
        <f>'Formato 6 a)'!F28</f>
        <v>20744317.149999999</v>
      </c>
      <c r="U21" s="18">
        <f>'Formato 6 a)'!G28</f>
        <v>98583028.799999997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10424200</v>
      </c>
      <c r="Q22" s="18">
        <f>'Formato 6 a)'!C29</f>
        <v>5230000</v>
      </c>
      <c r="R22" s="18">
        <f>'Formato 6 a)'!D29</f>
        <v>15654200</v>
      </c>
      <c r="S22" s="18">
        <f>'Formato 6 a)'!E29</f>
        <v>2853045.41</v>
      </c>
      <c r="T22" s="18">
        <f>'Formato 6 a)'!F29</f>
        <v>2787746.72</v>
      </c>
      <c r="U22" s="18">
        <f>'Formato 6 a)'!G29</f>
        <v>12801154.59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10841062.4</v>
      </c>
      <c r="Q23" s="18">
        <f>'Formato 6 a)'!C30</f>
        <v>2100000</v>
      </c>
      <c r="R23" s="18">
        <f>'Formato 6 a)'!D30</f>
        <v>12941062.4</v>
      </c>
      <c r="S23" s="18">
        <f>'Formato 6 a)'!E30</f>
        <v>2193752.13</v>
      </c>
      <c r="T23" s="18">
        <f>'Formato 6 a)'!F30</f>
        <v>1903752.13</v>
      </c>
      <c r="U23" s="18">
        <f>'Formato 6 a)'!G30</f>
        <v>10747310.27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10648000</v>
      </c>
      <c r="Q24" s="18">
        <f>'Formato 6 a)'!C31</f>
        <v>800000</v>
      </c>
      <c r="R24" s="18">
        <f>'Formato 6 a)'!D31</f>
        <v>11448000</v>
      </c>
      <c r="S24" s="18">
        <f>'Formato 6 a)'!E31</f>
        <v>1649708.56</v>
      </c>
      <c r="T24" s="18">
        <f>'Formato 6 a)'!F31</f>
        <v>1649708.56</v>
      </c>
      <c r="U24" s="18">
        <f>'Formato 6 a)'!G31</f>
        <v>9798291.4399999995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2680000</v>
      </c>
      <c r="Q25" s="18">
        <f>'Formato 6 a)'!C32</f>
        <v>0</v>
      </c>
      <c r="R25" s="18">
        <f>'Formato 6 a)'!D32</f>
        <v>2680000</v>
      </c>
      <c r="S25" s="18">
        <f>'Formato 6 a)'!E32</f>
        <v>1423758.22</v>
      </c>
      <c r="T25" s="18">
        <f>'Formato 6 a)'!F32</f>
        <v>1423758.22</v>
      </c>
      <c r="U25" s="18">
        <f>'Formato 6 a)'!G32</f>
        <v>1256241.78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26244000</v>
      </c>
      <c r="Q26" s="18">
        <f>'Formato 6 a)'!C33</f>
        <v>1765000</v>
      </c>
      <c r="R26" s="18">
        <f>'Formato 6 a)'!D33</f>
        <v>28009000</v>
      </c>
      <c r="S26" s="18">
        <f>'Formato 6 a)'!E33</f>
        <v>2867531.89</v>
      </c>
      <c r="T26" s="18">
        <f>'Formato 6 a)'!F33</f>
        <v>2599322.9</v>
      </c>
      <c r="U26" s="18">
        <f>'Formato 6 a)'!G33</f>
        <v>25141468.109999999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6610000</v>
      </c>
      <c r="Q27" s="18">
        <f>'Formato 6 a)'!C34</f>
        <v>1000000</v>
      </c>
      <c r="R27" s="18">
        <f>'Formato 6 a)'!D34</f>
        <v>7610000</v>
      </c>
      <c r="S27" s="18">
        <f>'Formato 6 a)'!E34</f>
        <v>659600</v>
      </c>
      <c r="T27" s="18">
        <f>'Formato 6 a)'!F34</f>
        <v>659600</v>
      </c>
      <c r="U27" s="18">
        <f>'Formato 6 a)'!G34</f>
        <v>6950400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1110200</v>
      </c>
      <c r="Q28" s="18">
        <f>'Formato 6 a)'!C35</f>
        <v>0</v>
      </c>
      <c r="R28" s="18">
        <f>'Formato 6 a)'!D35</f>
        <v>1110200</v>
      </c>
      <c r="S28" s="18">
        <f>'Formato 6 a)'!E35</f>
        <v>114385.51</v>
      </c>
      <c r="T28" s="18">
        <f>'Formato 6 a)'!F35</f>
        <v>114385.51</v>
      </c>
      <c r="U28" s="18">
        <f>'Formato 6 a)'!G35</f>
        <v>995814.49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12151000</v>
      </c>
      <c r="Q29" s="18">
        <f>'Formato 6 a)'!C36</f>
        <v>1075000</v>
      </c>
      <c r="R29" s="18">
        <f>'Formato 6 a)'!D36</f>
        <v>13226000</v>
      </c>
      <c r="S29" s="18">
        <f>'Formato 6 a)'!E36</f>
        <v>1273164.6399999999</v>
      </c>
      <c r="T29" s="18">
        <f>'Formato 6 a)'!F36</f>
        <v>1075523.72</v>
      </c>
      <c r="U29" s="18">
        <f>'Formato 6 a)'!G36</f>
        <v>11952835.359999999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28486134.670000002</v>
      </c>
      <c r="Q30" s="18">
        <f>'Formato 6 a)'!C37</f>
        <v>135000</v>
      </c>
      <c r="R30" s="18">
        <f>'Formato 6 a)'!D37</f>
        <v>28621134.670000002</v>
      </c>
      <c r="S30" s="18">
        <f>'Formato 6 a)'!E37</f>
        <v>9681621.9100000001</v>
      </c>
      <c r="T30" s="18">
        <f>'Formato 6 a)'!F37</f>
        <v>8530519.3900000006</v>
      </c>
      <c r="U30" s="18">
        <f>'Formato 6 a)'!G37</f>
        <v>18939512.760000002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43573527.449999996</v>
      </c>
      <c r="Q31" s="18">
        <f>'Formato 6 a)'!C38</f>
        <v>10404400</v>
      </c>
      <c r="R31" s="18">
        <f>'Formato 6 a)'!D38</f>
        <v>53977927.449999996</v>
      </c>
      <c r="S31" s="18">
        <f>'Formato 6 a)'!E38</f>
        <v>12095693.51</v>
      </c>
      <c r="T31" s="18">
        <f>'Formato 6 a)'!F38</f>
        <v>12082263.780000001</v>
      </c>
      <c r="U31" s="18">
        <f>'Formato 6 a)'!G38</f>
        <v>41882233.939999998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26000000</v>
      </c>
      <c r="Q32" s="18">
        <f>'Formato 6 a)'!C39</f>
        <v>4626400</v>
      </c>
      <c r="R32" s="18">
        <f>'Formato 6 a)'!D39</f>
        <v>30626400</v>
      </c>
      <c r="S32" s="18">
        <f>'Formato 6 a)'!E39</f>
        <v>6626400</v>
      </c>
      <c r="T32" s="18">
        <f>'Formato 6 a)'!F39</f>
        <v>6626400</v>
      </c>
      <c r="U32" s="18">
        <f>'Formato 6 a)'!G39</f>
        <v>24000000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3500000</v>
      </c>
      <c r="Q34" s="18">
        <f>'Formato 6 a)'!C41</f>
        <v>5778000</v>
      </c>
      <c r="R34" s="18">
        <f>'Formato 6 a)'!D41</f>
        <v>9278000</v>
      </c>
      <c r="S34" s="18">
        <f>'Formato 6 a)'!E41</f>
        <v>1464931.23</v>
      </c>
      <c r="T34" s="18">
        <f>'Formato 6 a)'!F41</f>
        <v>1464931.23</v>
      </c>
      <c r="U34" s="18">
        <f>'Formato 6 a)'!G41</f>
        <v>7813068.7699999996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7877713.0499999998</v>
      </c>
      <c r="Q35" s="18">
        <f>'Formato 6 a)'!C42</f>
        <v>0</v>
      </c>
      <c r="R35" s="18">
        <f>'Formato 6 a)'!D42</f>
        <v>7877713.0499999998</v>
      </c>
      <c r="S35" s="18">
        <f>'Formato 6 a)'!E42</f>
        <v>3044083.04</v>
      </c>
      <c r="T35" s="18">
        <f>'Formato 6 a)'!F42</f>
        <v>3030653.31</v>
      </c>
      <c r="U35" s="18">
        <f>'Formato 6 a)'!G42</f>
        <v>4833630.01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6195814.4000000004</v>
      </c>
      <c r="Q36" s="18">
        <f>'Formato 6 a)'!C43</f>
        <v>0</v>
      </c>
      <c r="R36" s="18">
        <f>'Formato 6 a)'!D43</f>
        <v>6195814.4000000004</v>
      </c>
      <c r="S36" s="18">
        <f>'Formato 6 a)'!E43</f>
        <v>960279.24</v>
      </c>
      <c r="T36" s="18">
        <f>'Formato 6 a)'!F43</f>
        <v>960279.24</v>
      </c>
      <c r="U36" s="18">
        <f>'Formato 6 a)'!G43</f>
        <v>5235535.16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1257500</v>
      </c>
      <c r="Q41" s="18">
        <f>'Formato 6 a)'!C48</f>
        <v>1953000</v>
      </c>
      <c r="R41" s="18">
        <f>'Formato 6 a)'!D48</f>
        <v>3210500</v>
      </c>
      <c r="S41" s="18">
        <f>'Formato 6 a)'!E48</f>
        <v>577724.78</v>
      </c>
      <c r="T41" s="18">
        <f>'Formato 6 a)'!F48</f>
        <v>577724.78</v>
      </c>
      <c r="U41" s="18">
        <f>'Formato 6 a)'!G48</f>
        <v>2632775.2199999997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567500</v>
      </c>
      <c r="Q42" s="18">
        <f>'Formato 6 a)'!C49</f>
        <v>1451000</v>
      </c>
      <c r="R42" s="18">
        <f>'Formato 6 a)'!D49</f>
        <v>2018500</v>
      </c>
      <c r="S42" s="18">
        <f>'Formato 6 a)'!E49</f>
        <v>414918.78</v>
      </c>
      <c r="T42" s="18">
        <f>'Formato 6 a)'!F49</f>
        <v>414918.78</v>
      </c>
      <c r="U42" s="18">
        <f>'Formato 6 a)'!G49</f>
        <v>1603581.22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440000</v>
      </c>
      <c r="Q47" s="18">
        <f>'Formato 6 a)'!C54</f>
        <v>502000</v>
      </c>
      <c r="R47" s="18">
        <f>'Formato 6 a)'!D54</f>
        <v>942000</v>
      </c>
      <c r="S47" s="18">
        <f>'Formato 6 a)'!E54</f>
        <v>162806</v>
      </c>
      <c r="T47" s="18">
        <f>'Formato 6 a)'!F54</f>
        <v>162806</v>
      </c>
      <c r="U47" s="18">
        <f>'Formato 6 a)'!G54</f>
        <v>779194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250000</v>
      </c>
      <c r="Q50" s="18">
        <f>'Formato 6 a)'!C57</f>
        <v>0</v>
      </c>
      <c r="R50" s="18">
        <f>'Formato 6 a)'!D57</f>
        <v>250000</v>
      </c>
      <c r="S50" s="18">
        <f>'Formato 6 a)'!E57</f>
        <v>0</v>
      </c>
      <c r="T50" s="18">
        <f>'Formato 6 a)'!F57</f>
        <v>0</v>
      </c>
      <c r="U50" s="18">
        <f>'Formato 6 a)'!G57</f>
        <v>250000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2500000</v>
      </c>
      <c r="Q51" s="18">
        <f>'Formato 6 a)'!C58</f>
        <v>-114353.09</v>
      </c>
      <c r="R51" s="18">
        <f>'Formato 6 a)'!D58</f>
        <v>2385646.91</v>
      </c>
      <c r="S51" s="18">
        <f>'Formato 6 a)'!E58</f>
        <v>1448820.24</v>
      </c>
      <c r="T51" s="18">
        <f>'Formato 6 a)'!F58</f>
        <v>1448820.24</v>
      </c>
      <c r="U51" s="18">
        <f>'Formato 6 a)'!G58</f>
        <v>936826.67000000016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2500000</v>
      </c>
      <c r="Q52" s="18">
        <f>'Formato 6 a)'!C59</f>
        <v>-114353.09</v>
      </c>
      <c r="R52" s="18">
        <f>'Formato 6 a)'!D59</f>
        <v>2385646.91</v>
      </c>
      <c r="S52" s="18">
        <f>'Formato 6 a)'!E59</f>
        <v>1448820.24</v>
      </c>
      <c r="T52" s="18">
        <f>'Formato 6 a)'!F59</f>
        <v>1448820.24</v>
      </c>
      <c r="U52" s="18">
        <f>'Formato 6 a)'!G59</f>
        <v>936826.67000000016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3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5650000</v>
      </c>
      <c r="Q64" s="18">
        <f>'Formato 6 a)'!C71</f>
        <v>2805678</v>
      </c>
      <c r="R64" s="18">
        <f>'Formato 6 a)'!D71</f>
        <v>8455678</v>
      </c>
      <c r="S64" s="18">
        <f>'Formato 6 a)'!E71</f>
        <v>56000</v>
      </c>
      <c r="T64" s="18">
        <f>'Formato 6 a)'!F71</f>
        <v>56000</v>
      </c>
      <c r="U64" s="18">
        <f>'Formato 6 a)'!G71</f>
        <v>8399678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5650000</v>
      </c>
      <c r="Q67" s="18">
        <f>'Formato 6 a)'!C74</f>
        <v>2805678</v>
      </c>
      <c r="R67" s="18">
        <f>'Formato 6 a)'!D74</f>
        <v>8455678</v>
      </c>
      <c r="S67" s="18">
        <f>'Formato 6 a)'!E74</f>
        <v>56000</v>
      </c>
      <c r="T67" s="18">
        <f>'Formato 6 a)'!F74</f>
        <v>56000</v>
      </c>
      <c r="U67" s="18">
        <f>'Formato 6 a)'!G74</f>
        <v>8399678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31000000</v>
      </c>
      <c r="Q68" s="18">
        <f>'Formato 6 a)'!C75</f>
        <v>0</v>
      </c>
      <c r="R68" s="18">
        <f>'Formato 6 a)'!D75</f>
        <v>31000000</v>
      </c>
      <c r="S68" s="18">
        <f>'Formato 6 a)'!E75</f>
        <v>7798134.6699999999</v>
      </c>
      <c r="T68" s="18">
        <f>'Formato 6 a)'!F75</f>
        <v>7798134.6699999999</v>
      </c>
      <c r="U68" s="18">
        <f>'Formato 6 a)'!G75</f>
        <v>23201865.329999998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29000000</v>
      </c>
      <c r="Q69" s="18">
        <f>'Formato 6 a)'!C76</f>
        <v>0</v>
      </c>
      <c r="R69" s="18">
        <f>'Formato 6 a)'!D76</f>
        <v>29000000</v>
      </c>
      <c r="S69" s="18">
        <f>'Formato 6 a)'!E76</f>
        <v>7200000</v>
      </c>
      <c r="T69" s="18">
        <f>'Formato 6 a)'!F76</f>
        <v>7200000</v>
      </c>
      <c r="U69" s="18">
        <f>'Formato 6 a)'!G76</f>
        <v>21800000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2000000</v>
      </c>
      <c r="Q70" s="18">
        <f>'Formato 6 a)'!C77</f>
        <v>0</v>
      </c>
      <c r="R70" s="18">
        <f>'Formato 6 a)'!D77</f>
        <v>2000000</v>
      </c>
      <c r="S70" s="18">
        <f>'Formato 6 a)'!E77</f>
        <v>598134.67000000004</v>
      </c>
      <c r="T70" s="18">
        <f>'Formato 6 a)'!F77</f>
        <v>598134.67000000004</v>
      </c>
      <c r="U70" s="18">
        <f>'Formato 6 a)'!G77</f>
        <v>1401865.33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211659985</v>
      </c>
      <c r="Q76">
        <f>'Formato 6 a)'!C84</f>
        <v>39609341.849999994</v>
      </c>
      <c r="R76">
        <f>'Formato 6 a)'!D84</f>
        <v>251269326.84999996</v>
      </c>
      <c r="S76">
        <f>'Formato 6 a)'!E84</f>
        <v>53591603.780000001</v>
      </c>
      <c r="T76">
        <f>'Formato 6 a)'!F84</f>
        <v>53265286.980000004</v>
      </c>
      <c r="U76">
        <f>'Formato 6 a)'!G84</f>
        <v>197677723.06999999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102214217.80000001</v>
      </c>
      <c r="Q77">
        <f>'Formato 6 a)'!C85</f>
        <v>2452228.96</v>
      </c>
      <c r="R77">
        <f>'Formato 6 a)'!D85</f>
        <v>104666446.76000001</v>
      </c>
      <c r="S77">
        <f>'Formato 6 a)'!E85</f>
        <v>19491965.580000002</v>
      </c>
      <c r="T77">
        <f>'Formato 6 a)'!F85</f>
        <v>19491965.580000002</v>
      </c>
      <c r="U77">
        <f>'Formato 6 a)'!G85</f>
        <v>85174481.180000007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70678863.680000007</v>
      </c>
      <c r="Q78">
        <f>'Formato 6 a)'!C86</f>
        <v>17720.16</v>
      </c>
      <c r="R78">
        <f>'Formato 6 a)'!D86</f>
        <v>70696583.840000004</v>
      </c>
      <c r="S78">
        <f>'Formato 6 a)'!E86</f>
        <v>14111865.890000001</v>
      </c>
      <c r="T78">
        <f>'Formato 6 a)'!F86</f>
        <v>14111865.890000001</v>
      </c>
      <c r="U78">
        <f>'Formato 6 a)'!G86</f>
        <v>56584717.950000003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6464719</v>
      </c>
      <c r="Q79">
        <f>'Formato 6 a)'!C87</f>
        <v>722806.13</v>
      </c>
      <c r="R79">
        <f>'Formato 6 a)'!D87</f>
        <v>7187525.1299999999</v>
      </c>
      <c r="S79">
        <f>'Formato 6 a)'!E87</f>
        <v>1836082.14</v>
      </c>
      <c r="T79">
        <f>'Formato 6 a)'!F87</f>
        <v>1836082.14</v>
      </c>
      <c r="U79">
        <f>'Formato 6 a)'!G87</f>
        <v>5351442.99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13376022.109999999</v>
      </c>
      <c r="Q80">
        <f>'Formato 6 a)'!C88</f>
        <v>376912.67</v>
      </c>
      <c r="R80">
        <f>'Formato 6 a)'!D88</f>
        <v>13752934.779999999</v>
      </c>
      <c r="S80">
        <f>'Formato 6 a)'!E88</f>
        <v>77819.600000000006</v>
      </c>
      <c r="T80">
        <f>'Formato 6 a)'!F88</f>
        <v>77819.600000000006</v>
      </c>
      <c r="U80">
        <f>'Formato 6 a)'!G88</f>
        <v>13675115.18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1000000</v>
      </c>
      <c r="Q81">
        <f>'Formato 6 a)'!C89</f>
        <v>0</v>
      </c>
      <c r="R81">
        <f>'Formato 6 a)'!D89</f>
        <v>1000000</v>
      </c>
      <c r="S81">
        <f>'Formato 6 a)'!E89</f>
        <v>0</v>
      </c>
      <c r="T81">
        <f>'Formato 6 a)'!F89</f>
        <v>0</v>
      </c>
      <c r="U81">
        <f>'Formato 6 a)'!G89</f>
        <v>1000000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10694613.01</v>
      </c>
      <c r="Q82">
        <f>'Formato 6 a)'!C90</f>
        <v>1334790</v>
      </c>
      <c r="R82">
        <f>'Formato 6 a)'!D90</f>
        <v>12029403.01</v>
      </c>
      <c r="S82">
        <f>'Formato 6 a)'!E90</f>
        <v>3466197.95</v>
      </c>
      <c r="T82">
        <f>'Formato 6 a)'!F90</f>
        <v>3466197.95</v>
      </c>
      <c r="U82">
        <f>'Formato 6 a)'!G90</f>
        <v>8563205.0599999987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9995000</v>
      </c>
      <c r="Q85">
        <f>'Formato 6 a)'!C93</f>
        <v>151000</v>
      </c>
      <c r="R85">
        <f>'Formato 6 a)'!D93</f>
        <v>10146000</v>
      </c>
      <c r="S85">
        <f>'Formato 6 a)'!E93</f>
        <v>2819974.69</v>
      </c>
      <c r="T85">
        <f>'Formato 6 a)'!F93</f>
        <v>2819974.69</v>
      </c>
      <c r="U85">
        <f>'Formato 6 a)'!G93</f>
        <v>7326025.3100000005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150000</v>
      </c>
      <c r="Q87">
        <f>'Formato 6 a)'!C95</f>
        <v>0</v>
      </c>
      <c r="R87">
        <f>'Formato 6 a)'!D95</f>
        <v>150000</v>
      </c>
      <c r="S87">
        <f>'Formato 6 a)'!E95</f>
        <v>0</v>
      </c>
      <c r="T87">
        <f>'Formato 6 a)'!F95</f>
        <v>0</v>
      </c>
      <c r="U87">
        <f>'Formato 6 a)'!G95</f>
        <v>150000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1000000</v>
      </c>
      <c r="Q89">
        <f>'Formato 6 a)'!C97</f>
        <v>0</v>
      </c>
      <c r="R89">
        <f>'Formato 6 a)'!D97</f>
        <v>1000000</v>
      </c>
      <c r="S89">
        <f>'Formato 6 a)'!E97</f>
        <v>365981.16</v>
      </c>
      <c r="T89">
        <f>'Formato 6 a)'!F97</f>
        <v>365981.16</v>
      </c>
      <c r="U89">
        <f>'Formato 6 a)'!G97</f>
        <v>634018.84000000008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8480000</v>
      </c>
      <c r="Q91">
        <f>'Formato 6 a)'!C99</f>
        <v>0</v>
      </c>
      <c r="R91">
        <f>'Formato 6 a)'!D99</f>
        <v>8480000</v>
      </c>
      <c r="S91">
        <f>'Formato 6 a)'!E99</f>
        <v>2213135.5299999998</v>
      </c>
      <c r="T91">
        <f>'Formato 6 a)'!F99</f>
        <v>2213135.5299999998</v>
      </c>
      <c r="U91">
        <f>'Formato 6 a)'!G99</f>
        <v>6266864.4700000007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15000</v>
      </c>
      <c r="Q92">
        <f>'Formato 6 a)'!C100</f>
        <v>151000</v>
      </c>
      <c r="R92">
        <f>'Formato 6 a)'!D100</f>
        <v>166000</v>
      </c>
      <c r="S92">
        <f>'Formato 6 a)'!E100</f>
        <v>150858</v>
      </c>
      <c r="T92">
        <f>'Formato 6 a)'!F100</f>
        <v>150858</v>
      </c>
      <c r="U92">
        <f>'Formato 6 a)'!G100</f>
        <v>15142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350000</v>
      </c>
      <c r="Q93">
        <f>'Formato 6 a)'!C101</f>
        <v>0</v>
      </c>
      <c r="R93">
        <f>'Formato 6 a)'!D101</f>
        <v>350000</v>
      </c>
      <c r="S93">
        <f>'Formato 6 a)'!E101</f>
        <v>90000</v>
      </c>
      <c r="T93">
        <f>'Formato 6 a)'!F101</f>
        <v>90000</v>
      </c>
      <c r="U93">
        <f>'Formato 6 a)'!G101</f>
        <v>260000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10489893</v>
      </c>
      <c r="Q95">
        <f>'Formato 6 a)'!C103</f>
        <v>121574.08</v>
      </c>
      <c r="R95">
        <f>'Formato 6 a)'!D103</f>
        <v>10611467.08</v>
      </c>
      <c r="S95">
        <f>'Formato 6 a)'!E103</f>
        <v>2949398.19</v>
      </c>
      <c r="T95">
        <f>'Formato 6 a)'!F103</f>
        <v>2623081.39</v>
      </c>
      <c r="U95">
        <f>'Formato 6 a)'!G103</f>
        <v>7662068.8900000006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1000000</v>
      </c>
      <c r="Q96">
        <f>'Formato 6 a)'!C104</f>
        <v>121574.08</v>
      </c>
      <c r="R96">
        <f>'Formato 6 a)'!D104</f>
        <v>1121574.08</v>
      </c>
      <c r="S96">
        <f>'Formato 6 a)'!E104</f>
        <v>90007</v>
      </c>
      <c r="T96">
        <f>'Formato 6 a)'!F104</f>
        <v>90007</v>
      </c>
      <c r="U96">
        <f>'Formato 6 a)'!G104</f>
        <v>1031567.0800000001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1000000</v>
      </c>
      <c r="Q99">
        <f>'Formato 6 a)'!C107</f>
        <v>0</v>
      </c>
      <c r="R99">
        <f>'Formato 6 a)'!D107</f>
        <v>1000000</v>
      </c>
      <c r="S99">
        <f>'Formato 6 a)'!E107</f>
        <v>27513.31</v>
      </c>
      <c r="T99">
        <f>'Formato 6 a)'!F107</f>
        <v>27513.31</v>
      </c>
      <c r="U99">
        <f>'Formato 6 a)'!G107</f>
        <v>972486.69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4615000</v>
      </c>
      <c r="Q100">
        <f>'Formato 6 a)'!C108</f>
        <v>0</v>
      </c>
      <c r="R100">
        <f>'Formato 6 a)'!D108</f>
        <v>4615000</v>
      </c>
      <c r="S100">
        <f>'Formato 6 a)'!E108</f>
        <v>2445353.88</v>
      </c>
      <c r="T100">
        <f>'Formato 6 a)'!F108</f>
        <v>2119037.08</v>
      </c>
      <c r="U100">
        <f>'Formato 6 a)'!G108</f>
        <v>2169646.12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3874893</v>
      </c>
      <c r="Q104">
        <f>'Formato 6 a)'!C112</f>
        <v>0</v>
      </c>
      <c r="R104">
        <f>'Formato 6 a)'!D112</f>
        <v>3874893</v>
      </c>
      <c r="S104">
        <f>'Formato 6 a)'!E112</f>
        <v>386524</v>
      </c>
      <c r="T104">
        <f>'Formato 6 a)'!F112</f>
        <v>386524</v>
      </c>
      <c r="U104">
        <f>'Formato 6 a)'!G112</f>
        <v>3488369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1000000</v>
      </c>
      <c r="R115">
        <f>'Formato 6 a)'!D123</f>
        <v>1000000</v>
      </c>
      <c r="S115">
        <f>'Formato 6 a)'!E123</f>
        <v>0</v>
      </c>
      <c r="T115">
        <f>'Formato 6 a)'!F123</f>
        <v>0</v>
      </c>
      <c r="U115">
        <f>'Formato 6 a)'!G123</f>
        <v>1000000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1000000</v>
      </c>
      <c r="R119">
        <f>'Formato 6 a)'!D127</f>
        <v>1000000</v>
      </c>
      <c r="S119">
        <f>'Formato 6 a)'!E127</f>
        <v>0</v>
      </c>
      <c r="T119">
        <f>'Formato 6 a)'!F127</f>
        <v>0</v>
      </c>
      <c r="U119">
        <f>'Formato 6 a)'!G127</f>
        <v>1000000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83371662</v>
      </c>
      <c r="Q125">
        <f>'Formato 6 a)'!C133</f>
        <v>35711297.049999997</v>
      </c>
      <c r="R125">
        <f>'Formato 6 a)'!D133</f>
        <v>119082959.05</v>
      </c>
      <c r="S125">
        <f>'Formato 6 a)'!E133</f>
        <v>27049671.239999998</v>
      </c>
      <c r="T125">
        <f>'Formato 6 a)'!F133</f>
        <v>27049671.239999998</v>
      </c>
      <c r="U125">
        <f>'Formato 6 a)'!G133</f>
        <v>92033287.810000002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83371662</v>
      </c>
      <c r="Q126">
        <f>'Formato 6 a)'!C134</f>
        <v>35711297.049999997</v>
      </c>
      <c r="R126">
        <f>'Formato 6 a)'!D134</f>
        <v>119082959.05</v>
      </c>
      <c r="S126">
        <f>'Formato 6 a)'!E134</f>
        <v>27049671.239999998</v>
      </c>
      <c r="T126">
        <f>'Formato 6 a)'!F134</f>
        <v>27049671.239999998</v>
      </c>
      <c r="U126">
        <f>'Formato 6 a)'!G134</f>
        <v>92033287.810000002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173241.76</v>
      </c>
      <c r="R138">
        <f>'Formato 6 a)'!D146</f>
        <v>173241.76</v>
      </c>
      <c r="S138">
        <f>'Formato 6 a)'!E146</f>
        <v>0</v>
      </c>
      <c r="T138">
        <f>'Formato 6 a)'!F146</f>
        <v>0</v>
      </c>
      <c r="U138">
        <f>'Formato 6 a)'!G146</f>
        <v>173241.76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173241.76</v>
      </c>
      <c r="R141">
        <f>'Formato 6 a)'!D149</f>
        <v>173241.76</v>
      </c>
      <c r="S141">
        <f>'Formato 6 a)'!E149</f>
        <v>0</v>
      </c>
      <c r="T141">
        <f>'Formato 6 a)'!F149</f>
        <v>0</v>
      </c>
      <c r="U141">
        <f>'Formato 6 a)'!G149</f>
        <v>173241.76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5589212.2000000002</v>
      </c>
      <c r="Q142">
        <f>'Formato 6 a)'!C150</f>
        <v>0</v>
      </c>
      <c r="R142">
        <f>'Formato 6 a)'!D150</f>
        <v>5589212.2000000002</v>
      </c>
      <c r="S142">
        <f>'Formato 6 a)'!E150</f>
        <v>1280594.08</v>
      </c>
      <c r="T142">
        <f>'Formato 6 a)'!F150</f>
        <v>1280594.08</v>
      </c>
      <c r="U142">
        <f>'Formato 6 a)'!G150</f>
        <v>4308618.12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3744000</v>
      </c>
      <c r="Q143">
        <f>'Formato 6 a)'!C151</f>
        <v>0</v>
      </c>
      <c r="R143">
        <f>'Formato 6 a)'!D151</f>
        <v>3744000</v>
      </c>
      <c r="S143">
        <f>'Formato 6 a)'!E151</f>
        <v>936000</v>
      </c>
      <c r="T143">
        <f>'Formato 6 a)'!F151</f>
        <v>936000</v>
      </c>
      <c r="U143">
        <f>'Formato 6 a)'!G151</f>
        <v>2808000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1845212.2</v>
      </c>
      <c r="Q144">
        <f>'Formato 6 a)'!C152</f>
        <v>0</v>
      </c>
      <c r="R144">
        <f>'Formato 6 a)'!D152</f>
        <v>1845212.2</v>
      </c>
      <c r="S144">
        <f>'Formato 6 a)'!E152</f>
        <v>344594.08</v>
      </c>
      <c r="T144">
        <f>'Formato 6 a)'!F152</f>
        <v>344594.08</v>
      </c>
      <c r="U144">
        <f>'Formato 6 a)'!G152</f>
        <v>1500618.1199999999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594106494.11999989</v>
      </c>
      <c r="Q150">
        <f>'Formato 6 a)'!C159</f>
        <v>115292201.01999998</v>
      </c>
      <c r="R150">
        <f>'Formato 6 a)'!D159</f>
        <v>709398695.13999999</v>
      </c>
      <c r="S150">
        <f>'Formato 6 a)'!E159</f>
        <v>153814246.32999998</v>
      </c>
      <c r="T150">
        <f>'Formato 6 a)'!F159</f>
        <v>149179920.06</v>
      </c>
      <c r="U150">
        <f>'Formato 6 a)'!G159</f>
        <v>555584448.80999994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132"/>
  <sheetViews>
    <sheetView showGridLines="0" zoomScale="90" zoomScaleNormal="90" workbookViewId="0">
      <selection activeCell="D18" sqref="D1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1" t="s">
        <v>3282</v>
      </c>
      <c r="B1" s="161"/>
      <c r="C1" s="161"/>
      <c r="D1" s="161"/>
      <c r="E1" s="161"/>
      <c r="F1" s="161"/>
      <c r="G1" s="161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5" t="s">
        <v>277</v>
      </c>
      <c r="B3" s="146"/>
      <c r="C3" s="146"/>
      <c r="D3" s="146"/>
      <c r="E3" s="146"/>
      <c r="F3" s="146"/>
      <c r="G3" s="147"/>
    </row>
    <row r="4" spans="1:7" x14ac:dyDescent="0.25">
      <c r="A4" s="145" t="s">
        <v>431</v>
      </c>
      <c r="B4" s="146"/>
      <c r="C4" s="146"/>
      <c r="D4" s="146"/>
      <c r="E4" s="146"/>
      <c r="F4" s="146"/>
      <c r="G4" s="147"/>
    </row>
    <row r="5" spans="1:7" ht="14.25" x14ac:dyDescent="0.45">
      <c r="A5" s="148" t="str">
        <f>TRIMESTRE</f>
        <v>Del 1 de enero al 30 de marzo de 2020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57" t="s">
        <v>0</v>
      </c>
      <c r="B7" s="159" t="s">
        <v>279</v>
      </c>
      <c r="C7" s="159"/>
      <c r="D7" s="159"/>
      <c r="E7" s="159"/>
      <c r="F7" s="159"/>
      <c r="G7" s="163" t="s">
        <v>280</v>
      </c>
    </row>
    <row r="8" spans="1:7" ht="30" x14ac:dyDescent="0.25">
      <c r="A8" s="158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162"/>
    </row>
    <row r="9" spans="1:7" x14ac:dyDescent="0.25">
      <c r="A9" s="50" t="s">
        <v>432</v>
      </c>
      <c r="B9" s="134">
        <f>SUM(B10:GASTO_NE_FIN_01)</f>
        <v>382446509.11999995</v>
      </c>
      <c r="C9" s="134">
        <f>SUM(C10:GASTO_NE_FIN_02)</f>
        <v>81490904.069999993</v>
      </c>
      <c r="D9" s="134">
        <f>SUM(D10:GASTO_NE_FIN_03)</f>
        <v>458129368.28999996</v>
      </c>
      <c r="E9" s="134">
        <f>SUM(E10:GASTO_NE_FIN_04)</f>
        <v>100222642.55000006</v>
      </c>
      <c r="F9" s="134">
        <f>SUM(F10:GASTO_NE_FIN_05)</f>
        <v>95914633.080000028</v>
      </c>
      <c r="G9" s="134">
        <f>SUM(G10:GASTO_NE_FIN_06)</f>
        <v>357906725.74000001</v>
      </c>
    </row>
    <row r="10" spans="1:7" s="23" customFormat="1" x14ac:dyDescent="0.25">
      <c r="A10" s="23" t="s">
        <v>3297</v>
      </c>
      <c r="B10" s="135">
        <v>6791573.7999999998</v>
      </c>
      <c r="C10" s="135">
        <v>0</v>
      </c>
      <c r="D10" s="135">
        <v>6791573.7999999998</v>
      </c>
      <c r="E10" s="135">
        <v>1685713.93</v>
      </c>
      <c r="F10" s="135">
        <v>1685713.93</v>
      </c>
      <c r="G10" s="135">
        <f>D10-E10</f>
        <v>5105859.87</v>
      </c>
    </row>
    <row r="11" spans="1:7" s="23" customFormat="1" x14ac:dyDescent="0.25">
      <c r="A11" s="23" t="s">
        <v>3298</v>
      </c>
      <c r="B11" s="135">
        <v>19291980.920000002</v>
      </c>
      <c r="C11" s="135">
        <v>6300</v>
      </c>
      <c r="D11" s="135">
        <v>19298280.920000002</v>
      </c>
      <c r="E11" s="135">
        <v>4102739.01</v>
      </c>
      <c r="F11" s="135">
        <v>4094323.01</v>
      </c>
      <c r="G11" s="135">
        <f t="shared" ref="G11:G64" si="0">D11-E11</f>
        <v>15195541.910000002</v>
      </c>
    </row>
    <row r="12" spans="1:7" s="23" customFormat="1" x14ac:dyDescent="0.25">
      <c r="A12" s="23" t="s">
        <v>3299</v>
      </c>
      <c r="B12" s="135">
        <v>9567402.5399999991</v>
      </c>
      <c r="C12" s="135">
        <v>405137.59</v>
      </c>
      <c r="D12" s="135">
        <v>9972540.1300000008</v>
      </c>
      <c r="E12" s="135">
        <v>3451373.14</v>
      </c>
      <c r="F12" s="135">
        <v>3269995.54</v>
      </c>
      <c r="G12" s="135">
        <f t="shared" si="0"/>
        <v>6521166.9900000002</v>
      </c>
    </row>
    <row r="13" spans="1:7" s="23" customFormat="1" x14ac:dyDescent="0.25">
      <c r="A13" s="23" t="s">
        <v>3300</v>
      </c>
      <c r="B13" s="135">
        <v>816269.38</v>
      </c>
      <c r="C13" s="135">
        <v>17200</v>
      </c>
      <c r="D13" s="135">
        <v>833469.38</v>
      </c>
      <c r="E13" s="135">
        <v>149548.29</v>
      </c>
      <c r="F13" s="135">
        <v>147428.63</v>
      </c>
      <c r="G13" s="135">
        <f t="shared" si="0"/>
        <v>683921.09</v>
      </c>
    </row>
    <row r="14" spans="1:7" s="23" customFormat="1" x14ac:dyDescent="0.25">
      <c r="A14" s="23" t="s">
        <v>3301</v>
      </c>
      <c r="B14" s="135">
        <v>1274662.04</v>
      </c>
      <c r="C14" s="135">
        <v>0</v>
      </c>
      <c r="D14" s="135">
        <v>1274662.04</v>
      </c>
      <c r="E14" s="135">
        <v>157330.38</v>
      </c>
      <c r="F14" s="135">
        <v>157330.38</v>
      </c>
      <c r="G14" s="135">
        <f t="shared" si="0"/>
        <v>1117331.6600000001</v>
      </c>
    </row>
    <row r="15" spans="1:7" s="23" customFormat="1" x14ac:dyDescent="0.25">
      <c r="A15" s="23" t="s">
        <v>3302</v>
      </c>
      <c r="B15" s="135">
        <v>7881376.3600000003</v>
      </c>
      <c r="C15" s="135">
        <v>1494469.52</v>
      </c>
      <c r="D15" s="135">
        <v>9375845.8800000008</v>
      </c>
      <c r="E15" s="135">
        <v>1456479.53</v>
      </c>
      <c r="F15" s="135">
        <v>1437598.09</v>
      </c>
      <c r="G15" s="135">
        <f t="shared" si="0"/>
        <v>7919366.3500000006</v>
      </c>
    </row>
    <row r="16" spans="1:7" s="23" customFormat="1" x14ac:dyDescent="0.25">
      <c r="A16" s="23" t="s">
        <v>3303</v>
      </c>
      <c r="B16" s="135">
        <v>7165712.9199999999</v>
      </c>
      <c r="C16" s="135">
        <v>90000</v>
      </c>
      <c r="D16" s="135">
        <v>7255712.9199999999</v>
      </c>
      <c r="E16" s="135">
        <v>495670.5</v>
      </c>
      <c r="F16" s="135">
        <v>484492.21</v>
      </c>
      <c r="G16" s="135">
        <f t="shared" si="0"/>
        <v>6760042.4199999999</v>
      </c>
    </row>
    <row r="17" spans="1:7" s="23" customFormat="1" x14ac:dyDescent="0.25">
      <c r="A17" s="23" t="s">
        <v>3304</v>
      </c>
      <c r="B17" s="135">
        <v>1215635.44</v>
      </c>
      <c r="C17" s="135">
        <v>0</v>
      </c>
      <c r="D17" s="135">
        <v>1215635.44</v>
      </c>
      <c r="E17" s="135">
        <v>128646.73999999999</v>
      </c>
      <c r="F17" s="135">
        <v>126339.01</v>
      </c>
      <c r="G17" s="135">
        <f t="shared" si="0"/>
        <v>1086988.7</v>
      </c>
    </row>
    <row r="18" spans="1:7" s="23" customFormat="1" x14ac:dyDescent="0.25">
      <c r="A18" s="23" t="s">
        <v>3305</v>
      </c>
      <c r="B18" s="135">
        <v>3392943.23</v>
      </c>
      <c r="C18" s="135">
        <v>95000</v>
      </c>
      <c r="D18" s="135">
        <v>3487943.23</v>
      </c>
      <c r="E18" s="135">
        <v>708410.22</v>
      </c>
      <c r="F18" s="135">
        <v>708410.22</v>
      </c>
      <c r="G18" s="135">
        <f t="shared" si="0"/>
        <v>2779533.01</v>
      </c>
    </row>
    <row r="19" spans="1:7" s="23" customFormat="1" x14ac:dyDescent="0.25">
      <c r="A19" s="23" t="s">
        <v>3306</v>
      </c>
      <c r="B19" s="135">
        <v>6169135.5800000001</v>
      </c>
      <c r="C19" s="135">
        <v>433131.92</v>
      </c>
      <c r="D19" s="135">
        <v>6602267.5</v>
      </c>
      <c r="E19" s="135">
        <v>935837.25</v>
      </c>
      <c r="F19" s="135">
        <v>930282.8</v>
      </c>
      <c r="G19" s="135">
        <f t="shared" si="0"/>
        <v>5666430.25</v>
      </c>
    </row>
    <row r="20" spans="1:7" s="23" customFormat="1" x14ac:dyDescent="0.25">
      <c r="A20" s="23" t="s">
        <v>3307</v>
      </c>
      <c r="B20" s="135">
        <v>2503978.13</v>
      </c>
      <c r="C20" s="135">
        <v>0</v>
      </c>
      <c r="D20" s="135">
        <v>2503978.13</v>
      </c>
      <c r="E20" s="135">
        <v>369855.94</v>
      </c>
      <c r="F20" s="135">
        <v>369855.94</v>
      </c>
      <c r="G20" s="135">
        <f t="shared" si="0"/>
        <v>2134122.19</v>
      </c>
    </row>
    <row r="21" spans="1:7" s="23" customFormat="1" x14ac:dyDescent="0.25">
      <c r="A21" s="23" t="s">
        <v>3308</v>
      </c>
      <c r="B21" s="135">
        <v>455242.4</v>
      </c>
      <c r="C21" s="135">
        <v>0</v>
      </c>
      <c r="D21" s="135">
        <v>455242.4</v>
      </c>
      <c r="E21" s="135">
        <v>46207.26</v>
      </c>
      <c r="F21" s="135">
        <v>46207.26</v>
      </c>
      <c r="G21" s="135">
        <f t="shared" si="0"/>
        <v>409035.14</v>
      </c>
    </row>
    <row r="22" spans="1:7" s="23" customFormat="1" x14ac:dyDescent="0.25">
      <c r="A22" s="23" t="s">
        <v>3309</v>
      </c>
      <c r="B22" s="135">
        <v>1779221.74</v>
      </c>
      <c r="C22" s="135">
        <v>524033.89</v>
      </c>
      <c r="D22" s="135">
        <v>2303255.63</v>
      </c>
      <c r="E22" s="135">
        <v>138203.54</v>
      </c>
      <c r="F22" s="135">
        <v>138203.54</v>
      </c>
      <c r="G22" s="135">
        <f t="shared" si="0"/>
        <v>2165052.09</v>
      </c>
    </row>
    <row r="23" spans="1:7" s="23" customFormat="1" x14ac:dyDescent="0.25">
      <c r="A23" s="23" t="s">
        <v>3310</v>
      </c>
      <c r="B23" s="135">
        <v>636186.17000000004</v>
      </c>
      <c r="C23" s="135">
        <v>6300</v>
      </c>
      <c r="D23" s="135">
        <v>642486.17000000004</v>
      </c>
      <c r="E23" s="135">
        <v>110065.91</v>
      </c>
      <c r="F23" s="135">
        <v>110065.91</v>
      </c>
      <c r="G23" s="135">
        <f t="shared" si="0"/>
        <v>532420.26</v>
      </c>
    </row>
    <row r="24" spans="1:7" s="23" customFormat="1" x14ac:dyDescent="0.25">
      <c r="A24" s="23" t="s">
        <v>3311</v>
      </c>
      <c r="B24" s="135">
        <v>1074853.8600000001</v>
      </c>
      <c r="C24" s="135">
        <v>0</v>
      </c>
      <c r="D24" s="135">
        <v>1074853.8600000001</v>
      </c>
      <c r="E24" s="135">
        <v>178766.07</v>
      </c>
      <c r="F24" s="135">
        <v>178766.07</v>
      </c>
      <c r="G24" s="135">
        <f t="shared" si="0"/>
        <v>896087.79</v>
      </c>
    </row>
    <row r="25" spans="1:7" s="23" customFormat="1" x14ac:dyDescent="0.25">
      <c r="A25" s="23" t="s">
        <v>3312</v>
      </c>
      <c r="B25" s="135">
        <v>455544.72</v>
      </c>
      <c r="C25" s="135">
        <v>100000</v>
      </c>
      <c r="D25" s="135">
        <v>555544.72</v>
      </c>
      <c r="E25" s="135">
        <v>88336.16</v>
      </c>
      <c r="F25" s="135">
        <v>88336.16</v>
      </c>
      <c r="G25" s="135">
        <f t="shared" si="0"/>
        <v>467208.55999999994</v>
      </c>
    </row>
    <row r="26" spans="1:7" s="23" customFormat="1" x14ac:dyDescent="0.25">
      <c r="A26" s="23" t="s">
        <v>3313</v>
      </c>
      <c r="B26" s="135">
        <v>69674445.879999995</v>
      </c>
      <c r="C26" s="135">
        <v>5151400</v>
      </c>
      <c r="D26" s="135">
        <v>74825845.879999995</v>
      </c>
      <c r="E26" s="135">
        <v>18405410.420000002</v>
      </c>
      <c r="F26" s="135">
        <v>18110786.57</v>
      </c>
      <c r="G26" s="135">
        <f t="shared" si="0"/>
        <v>56420435.459999993</v>
      </c>
    </row>
    <row r="27" spans="1:7" s="23" customFormat="1" x14ac:dyDescent="0.25">
      <c r="A27" s="23" t="s">
        <v>3314</v>
      </c>
      <c r="B27" s="135">
        <v>2523477.9700000002</v>
      </c>
      <c r="C27" s="135">
        <v>382453.75</v>
      </c>
      <c r="D27" s="135">
        <v>2903837.38</v>
      </c>
      <c r="E27" s="135">
        <v>834509.2699999999</v>
      </c>
      <c r="F27" s="135">
        <v>832435.19</v>
      </c>
      <c r="G27" s="135">
        <f t="shared" si="0"/>
        <v>2069328.1099999999</v>
      </c>
    </row>
    <row r="28" spans="1:7" s="23" customFormat="1" x14ac:dyDescent="0.25">
      <c r="A28" s="23" t="s">
        <v>3315</v>
      </c>
      <c r="B28" s="135">
        <v>3360663.19</v>
      </c>
      <c r="C28" s="135">
        <v>158500</v>
      </c>
      <c r="D28" s="135">
        <v>3519163.19</v>
      </c>
      <c r="E28" s="135">
        <v>722107.56</v>
      </c>
      <c r="F28" s="135">
        <v>687766.81</v>
      </c>
      <c r="G28" s="135">
        <f t="shared" si="0"/>
        <v>2797055.63</v>
      </c>
    </row>
    <row r="29" spans="1:7" s="23" customFormat="1" x14ac:dyDescent="0.25">
      <c r="A29" s="23" t="s">
        <v>3316</v>
      </c>
      <c r="B29" s="135">
        <v>3009733.38</v>
      </c>
      <c r="C29" s="135">
        <v>687228.88</v>
      </c>
      <c r="D29" s="135">
        <v>3696962.26</v>
      </c>
      <c r="E29" s="135">
        <v>652284.49</v>
      </c>
      <c r="F29" s="135">
        <v>651959.68999999994</v>
      </c>
      <c r="G29" s="135">
        <f t="shared" si="0"/>
        <v>3044677.7699999996</v>
      </c>
    </row>
    <row r="30" spans="1:7" s="23" customFormat="1" x14ac:dyDescent="0.25">
      <c r="A30" s="23" t="s">
        <v>3317</v>
      </c>
      <c r="B30" s="135">
        <v>43984465.039999999</v>
      </c>
      <c r="C30" s="135">
        <v>42568327.829999998</v>
      </c>
      <c r="D30" s="135">
        <v>86540192.870000005</v>
      </c>
      <c r="E30" s="135">
        <v>24848956.09</v>
      </c>
      <c r="F30" s="135">
        <v>24848956.09</v>
      </c>
      <c r="G30" s="135">
        <f t="shared" si="0"/>
        <v>61691236.780000001</v>
      </c>
    </row>
    <row r="31" spans="1:7" s="23" customFormat="1" x14ac:dyDescent="0.25">
      <c r="A31" s="23" t="s">
        <v>3318</v>
      </c>
      <c r="B31" s="135">
        <v>43793405.079999998</v>
      </c>
      <c r="C31" s="135">
        <v>100000</v>
      </c>
      <c r="D31" s="135">
        <v>43893405.079999998</v>
      </c>
      <c r="E31" s="135">
        <v>14554207.430000002</v>
      </c>
      <c r="F31" s="135">
        <v>11476705.960000001</v>
      </c>
      <c r="G31" s="135">
        <f t="shared" si="0"/>
        <v>29339197.649999999</v>
      </c>
    </row>
    <row r="32" spans="1:7" s="23" customFormat="1" x14ac:dyDescent="0.25">
      <c r="A32" s="23" t="s">
        <v>3319</v>
      </c>
      <c r="B32" s="135">
        <v>3967199.69</v>
      </c>
      <c r="C32" s="135">
        <v>781425.42</v>
      </c>
      <c r="D32" s="135">
        <v>4555274.55</v>
      </c>
      <c r="E32" s="135">
        <v>1022056.99</v>
      </c>
      <c r="F32" s="135">
        <v>1007585.99</v>
      </c>
      <c r="G32" s="135">
        <f t="shared" si="0"/>
        <v>3533217.5599999996</v>
      </c>
    </row>
    <row r="33" spans="1:7" s="23" customFormat="1" x14ac:dyDescent="0.25">
      <c r="A33" s="23" t="s">
        <v>3320</v>
      </c>
      <c r="B33" s="135">
        <v>6139311.7699999996</v>
      </c>
      <c r="C33" s="135">
        <v>6000</v>
      </c>
      <c r="D33" s="135">
        <v>6145311.7699999996</v>
      </c>
      <c r="E33" s="135">
        <v>497193.67000000004</v>
      </c>
      <c r="F33" s="135">
        <v>447898.08</v>
      </c>
      <c r="G33" s="135">
        <f t="shared" si="0"/>
        <v>5648118.0999999996</v>
      </c>
    </row>
    <row r="34" spans="1:7" s="23" customFormat="1" x14ac:dyDescent="0.25">
      <c r="A34" s="23" t="s">
        <v>3321</v>
      </c>
      <c r="B34" s="135">
        <v>2639861.19</v>
      </c>
      <c r="C34" s="135">
        <v>242883.03</v>
      </c>
      <c r="D34" s="135">
        <v>2882744.22</v>
      </c>
      <c r="E34" s="135">
        <v>519451.03</v>
      </c>
      <c r="F34" s="135">
        <v>519451.03</v>
      </c>
      <c r="G34" s="135">
        <f t="shared" si="0"/>
        <v>2363293.1900000004</v>
      </c>
    </row>
    <row r="35" spans="1:7" s="23" customFormat="1" x14ac:dyDescent="0.25">
      <c r="A35" s="23" t="s">
        <v>3322</v>
      </c>
      <c r="B35" s="135">
        <v>1222141.8899999999</v>
      </c>
      <c r="C35" s="135">
        <v>45000</v>
      </c>
      <c r="D35" s="135">
        <v>1267141.8899999999</v>
      </c>
      <c r="E35" s="135">
        <v>207174.51</v>
      </c>
      <c r="F35" s="135">
        <v>205756.17</v>
      </c>
      <c r="G35" s="135">
        <f t="shared" si="0"/>
        <v>1059967.3799999999</v>
      </c>
    </row>
    <row r="36" spans="1:7" s="23" customFormat="1" x14ac:dyDescent="0.25">
      <c r="A36" s="23" t="s">
        <v>3323</v>
      </c>
      <c r="B36" s="135">
        <v>6886955.4400000004</v>
      </c>
      <c r="C36" s="135">
        <v>1120000</v>
      </c>
      <c r="D36" s="135">
        <v>8006955.4400000004</v>
      </c>
      <c r="E36" s="135">
        <v>3211566.89</v>
      </c>
      <c r="F36" s="135">
        <v>2863003.79</v>
      </c>
      <c r="G36" s="135">
        <f t="shared" si="0"/>
        <v>4795388.5500000007</v>
      </c>
    </row>
    <row r="37" spans="1:7" s="23" customFormat="1" x14ac:dyDescent="0.25">
      <c r="A37" s="23" t="s">
        <v>3324</v>
      </c>
      <c r="B37" s="135">
        <v>4125554.89</v>
      </c>
      <c r="C37" s="135">
        <v>0</v>
      </c>
      <c r="D37" s="135">
        <v>4125554.89</v>
      </c>
      <c r="E37" s="135">
        <v>696594.01</v>
      </c>
      <c r="F37" s="135">
        <v>694424.91</v>
      </c>
      <c r="G37" s="135">
        <f t="shared" si="0"/>
        <v>3428960.88</v>
      </c>
    </row>
    <row r="38" spans="1:7" s="23" customFormat="1" x14ac:dyDescent="0.25">
      <c r="A38" s="23" t="s">
        <v>3325</v>
      </c>
      <c r="B38" s="135">
        <v>21962281.100000001</v>
      </c>
      <c r="C38" s="135">
        <v>0</v>
      </c>
      <c r="D38" s="135">
        <v>21962281.100000001</v>
      </c>
      <c r="E38" s="135">
        <v>306715.70999999996</v>
      </c>
      <c r="F38" s="135">
        <v>304631.92</v>
      </c>
      <c r="G38" s="135">
        <f t="shared" si="0"/>
        <v>21655565.390000001</v>
      </c>
    </row>
    <row r="39" spans="1:7" s="23" customFormat="1" x14ac:dyDescent="0.25">
      <c r="A39" s="23" t="s">
        <v>3326</v>
      </c>
      <c r="B39" s="135">
        <v>5554362.75</v>
      </c>
      <c r="C39" s="135">
        <v>125000</v>
      </c>
      <c r="D39" s="135">
        <v>5679362.75</v>
      </c>
      <c r="E39" s="135">
        <v>905213.29</v>
      </c>
      <c r="F39" s="135">
        <v>899020.51</v>
      </c>
      <c r="G39" s="135">
        <f t="shared" si="0"/>
        <v>4774149.46</v>
      </c>
    </row>
    <row r="40" spans="1:7" s="23" customFormat="1" x14ac:dyDescent="0.25">
      <c r="A40" s="23" t="s">
        <v>3327</v>
      </c>
      <c r="B40" s="135">
        <v>3086339.49</v>
      </c>
      <c r="C40" s="135">
        <v>6300</v>
      </c>
      <c r="D40" s="135">
        <v>3092639.49</v>
      </c>
      <c r="E40" s="135">
        <v>547076.46</v>
      </c>
      <c r="F40" s="135">
        <v>547076.46</v>
      </c>
      <c r="G40" s="135">
        <f t="shared" si="0"/>
        <v>2545563.0300000003</v>
      </c>
    </row>
    <row r="41" spans="1:7" s="23" customFormat="1" x14ac:dyDescent="0.25">
      <c r="A41" s="23" t="s">
        <v>3328</v>
      </c>
      <c r="B41" s="135">
        <v>4184500.12</v>
      </c>
      <c r="C41" s="135">
        <v>0</v>
      </c>
      <c r="D41" s="135">
        <v>4184500.12</v>
      </c>
      <c r="E41" s="135">
        <v>950006.35000000009</v>
      </c>
      <c r="F41" s="135">
        <v>925769.31</v>
      </c>
      <c r="G41" s="135">
        <f t="shared" si="0"/>
        <v>3234493.77</v>
      </c>
    </row>
    <row r="42" spans="1:7" s="23" customFormat="1" x14ac:dyDescent="0.25">
      <c r="A42" s="23" t="s">
        <v>3329</v>
      </c>
      <c r="B42" s="135">
        <v>2465547.36</v>
      </c>
      <c r="C42" s="135">
        <v>60000</v>
      </c>
      <c r="D42" s="135">
        <v>2525547.36</v>
      </c>
      <c r="E42" s="135">
        <v>440346.39999999997</v>
      </c>
      <c r="F42" s="135">
        <v>431540.1</v>
      </c>
      <c r="G42" s="135">
        <f t="shared" si="0"/>
        <v>2085200.96</v>
      </c>
    </row>
    <row r="43" spans="1:7" s="23" customFormat="1" x14ac:dyDescent="0.25">
      <c r="A43" s="23" t="s">
        <v>3330</v>
      </c>
      <c r="B43" s="135">
        <v>6344344.29</v>
      </c>
      <c r="C43" s="135">
        <v>5323500</v>
      </c>
      <c r="D43" s="135">
        <v>11667844.289999999</v>
      </c>
      <c r="E43" s="135">
        <v>2013035.55</v>
      </c>
      <c r="F43" s="135">
        <v>1947736.86</v>
      </c>
      <c r="G43" s="135">
        <f t="shared" si="0"/>
        <v>9654808.7399999984</v>
      </c>
    </row>
    <row r="44" spans="1:7" s="23" customFormat="1" x14ac:dyDescent="0.25">
      <c r="A44" s="23" t="s">
        <v>3331</v>
      </c>
      <c r="B44" s="135">
        <v>2661484.62</v>
      </c>
      <c r="C44" s="135">
        <v>1098.96</v>
      </c>
      <c r="D44" s="135">
        <v>2662583.58</v>
      </c>
      <c r="E44" s="135">
        <v>441227.59</v>
      </c>
      <c r="F44" s="135">
        <v>441227.59</v>
      </c>
      <c r="G44" s="135">
        <f t="shared" si="0"/>
        <v>2221355.9900000002</v>
      </c>
    </row>
    <row r="45" spans="1:7" s="23" customFormat="1" x14ac:dyDescent="0.25">
      <c r="A45" s="23" t="s">
        <v>3332</v>
      </c>
      <c r="B45" s="135">
        <v>2357922.7599999998</v>
      </c>
      <c r="C45" s="135">
        <v>15000</v>
      </c>
      <c r="D45" s="135">
        <v>2372922.7599999998</v>
      </c>
      <c r="E45" s="135">
        <v>361960.29</v>
      </c>
      <c r="F45" s="135">
        <v>361960.29</v>
      </c>
      <c r="G45" s="135">
        <f t="shared" si="0"/>
        <v>2010962.4699999997</v>
      </c>
    </row>
    <row r="46" spans="1:7" s="23" customFormat="1" x14ac:dyDescent="0.25">
      <c r="A46" s="23" t="s">
        <v>3333</v>
      </c>
      <c r="B46" s="135">
        <v>2255661.71</v>
      </c>
      <c r="C46" s="135">
        <v>0</v>
      </c>
      <c r="D46" s="135">
        <v>2255661.71</v>
      </c>
      <c r="E46" s="135">
        <v>246895.68</v>
      </c>
      <c r="F46" s="135">
        <v>245155.68</v>
      </c>
      <c r="G46" s="135">
        <f t="shared" si="0"/>
        <v>2008766.03</v>
      </c>
    </row>
    <row r="47" spans="1:7" s="23" customFormat="1" x14ac:dyDescent="0.25">
      <c r="A47" s="23" t="s">
        <v>3334</v>
      </c>
      <c r="B47" s="135">
        <v>5629820.1699999999</v>
      </c>
      <c r="C47" s="135">
        <v>1036528.97</v>
      </c>
      <c r="D47" s="135">
        <v>6666349.1399999997</v>
      </c>
      <c r="E47" s="135">
        <v>1677691.44</v>
      </c>
      <c r="F47" s="135">
        <v>1659159.72</v>
      </c>
      <c r="G47" s="135">
        <f t="shared" si="0"/>
        <v>4988657.6999999993</v>
      </c>
    </row>
    <row r="48" spans="1:7" s="23" customFormat="1" x14ac:dyDescent="0.25">
      <c r="A48" s="23" t="s">
        <v>3335</v>
      </c>
      <c r="B48" s="135">
        <v>395903.01</v>
      </c>
      <c r="C48" s="135">
        <v>0</v>
      </c>
      <c r="D48" s="135">
        <v>395903.01</v>
      </c>
      <c r="E48" s="135">
        <v>0</v>
      </c>
      <c r="F48" s="135">
        <v>0</v>
      </c>
      <c r="G48" s="135">
        <f t="shared" si="0"/>
        <v>395903.01</v>
      </c>
    </row>
    <row r="49" spans="1:7" s="23" customFormat="1" x14ac:dyDescent="0.25">
      <c r="A49" s="23" t="s">
        <v>3336</v>
      </c>
      <c r="B49" s="135">
        <v>7319440.8700000001</v>
      </c>
      <c r="C49" s="135">
        <v>774033.88</v>
      </c>
      <c r="D49" s="135">
        <v>8093474.75</v>
      </c>
      <c r="E49" s="135">
        <v>967783.83</v>
      </c>
      <c r="F49" s="135">
        <v>941589.46</v>
      </c>
      <c r="G49" s="135">
        <f t="shared" si="0"/>
        <v>7125690.9199999999</v>
      </c>
    </row>
    <row r="50" spans="1:7" s="23" customFormat="1" x14ac:dyDescent="0.25">
      <c r="A50" s="23" t="s">
        <v>3337</v>
      </c>
      <c r="B50" s="135">
        <v>7857339.4299999997</v>
      </c>
      <c r="C50" s="135">
        <v>6578000</v>
      </c>
      <c r="D50" s="135">
        <v>13835339.43</v>
      </c>
      <c r="E50" s="135">
        <v>2219160.42</v>
      </c>
      <c r="F50" s="135">
        <v>2219160.42</v>
      </c>
      <c r="G50" s="135">
        <f t="shared" si="0"/>
        <v>11616179.01</v>
      </c>
    </row>
    <row r="51" spans="1:7" s="23" customFormat="1" x14ac:dyDescent="0.25">
      <c r="A51" s="23" t="s">
        <v>3338</v>
      </c>
      <c r="B51" s="135">
        <v>734519.89</v>
      </c>
      <c r="C51" s="135">
        <v>0</v>
      </c>
      <c r="D51" s="135">
        <v>734519.89</v>
      </c>
      <c r="E51" s="135">
        <v>129657.31</v>
      </c>
      <c r="F51" s="135">
        <v>129657.31</v>
      </c>
      <c r="G51" s="135">
        <f t="shared" si="0"/>
        <v>604862.58000000007</v>
      </c>
    </row>
    <row r="52" spans="1:7" s="23" customFormat="1" x14ac:dyDescent="0.25">
      <c r="A52" s="23" t="s">
        <v>3339</v>
      </c>
      <c r="B52" s="135">
        <v>6348654.8099999996</v>
      </c>
      <c r="C52" s="135">
        <v>300000</v>
      </c>
      <c r="D52" s="135">
        <v>6648654.8099999996</v>
      </c>
      <c r="E52" s="135">
        <v>1174607.3400000001</v>
      </c>
      <c r="F52" s="135">
        <v>1174607.3400000001</v>
      </c>
      <c r="G52" s="135">
        <f t="shared" si="0"/>
        <v>5474047.4699999997</v>
      </c>
    </row>
    <row r="53" spans="1:7" s="23" customFormat="1" x14ac:dyDescent="0.25">
      <c r="A53" s="23" t="s">
        <v>3340</v>
      </c>
      <c r="B53" s="135">
        <v>2217377.4300000002</v>
      </c>
      <c r="C53" s="135">
        <v>2888.88</v>
      </c>
      <c r="D53" s="135">
        <v>2220266.31</v>
      </c>
      <c r="E53" s="135">
        <v>510510.04</v>
      </c>
      <c r="F53" s="135">
        <v>507849</v>
      </c>
      <c r="G53" s="135">
        <f t="shared" si="0"/>
        <v>1709756.27</v>
      </c>
    </row>
    <row r="54" spans="1:7" s="23" customFormat="1" x14ac:dyDescent="0.25">
      <c r="A54" s="23" t="s">
        <v>3341</v>
      </c>
      <c r="B54" s="135">
        <v>2794006.39</v>
      </c>
      <c r="C54" s="135">
        <v>540000</v>
      </c>
      <c r="D54" s="135">
        <v>3334006.39</v>
      </c>
      <c r="E54" s="135">
        <v>554290.13</v>
      </c>
      <c r="F54" s="135">
        <v>539896.27</v>
      </c>
      <c r="G54" s="135">
        <f t="shared" si="0"/>
        <v>2779716.2600000002</v>
      </c>
    </row>
    <row r="55" spans="1:7" s="23" customFormat="1" x14ac:dyDescent="0.25">
      <c r="A55" s="23" t="s">
        <v>3342</v>
      </c>
      <c r="B55" s="135">
        <v>4851500</v>
      </c>
      <c r="C55" s="135">
        <v>218989.28</v>
      </c>
      <c r="D55" s="135">
        <v>5070489.28</v>
      </c>
      <c r="E55" s="135">
        <v>582470.41999999993</v>
      </c>
      <c r="F55" s="135">
        <v>546942.73</v>
      </c>
      <c r="G55" s="135">
        <f t="shared" si="0"/>
        <v>4488018.8600000003</v>
      </c>
    </row>
    <row r="56" spans="1:7" s="23" customFormat="1" x14ac:dyDescent="0.25">
      <c r="A56" s="23" t="s">
        <v>3343</v>
      </c>
      <c r="B56" s="135">
        <v>935000</v>
      </c>
      <c r="C56" s="135">
        <v>100000</v>
      </c>
      <c r="D56" s="135">
        <v>1035000</v>
      </c>
      <c r="E56" s="135">
        <v>19215.5</v>
      </c>
      <c r="F56" s="135">
        <v>19215.5</v>
      </c>
      <c r="G56" s="135">
        <f t="shared" si="0"/>
        <v>1015784.5</v>
      </c>
    </row>
    <row r="57" spans="1:7" s="23" customFormat="1" x14ac:dyDescent="0.25">
      <c r="A57" s="23" t="s">
        <v>3344</v>
      </c>
      <c r="B57" s="135">
        <v>180000</v>
      </c>
      <c r="C57" s="135">
        <v>60000</v>
      </c>
      <c r="D57" s="135">
        <v>240000</v>
      </c>
      <c r="E57" s="135">
        <v>5960.43</v>
      </c>
      <c r="F57" s="135">
        <v>5960.43</v>
      </c>
      <c r="G57" s="135">
        <f t="shared" si="0"/>
        <v>234039.57</v>
      </c>
    </row>
    <row r="58" spans="1:7" s="23" customFormat="1" x14ac:dyDescent="0.25">
      <c r="A58" s="23" t="s">
        <v>3345</v>
      </c>
      <c r="B58" s="135">
        <v>352500</v>
      </c>
      <c r="C58" s="135">
        <v>0</v>
      </c>
      <c r="D58" s="135">
        <v>352500</v>
      </c>
      <c r="E58" s="135">
        <v>14973.58</v>
      </c>
      <c r="F58" s="135">
        <v>14973.58</v>
      </c>
      <c r="G58" s="135">
        <f t="shared" si="0"/>
        <v>337526.42</v>
      </c>
    </row>
    <row r="59" spans="1:7" s="23" customFormat="1" x14ac:dyDescent="0.25">
      <c r="A59" s="23" t="s">
        <v>3346</v>
      </c>
      <c r="B59" s="135">
        <v>321000</v>
      </c>
      <c r="C59" s="135">
        <v>380000</v>
      </c>
      <c r="D59" s="135">
        <v>701000</v>
      </c>
      <c r="E59" s="135">
        <v>26957.919999999998</v>
      </c>
      <c r="F59" s="135">
        <v>16487.759999999998</v>
      </c>
      <c r="G59" s="135">
        <f t="shared" si="0"/>
        <v>674042.08</v>
      </c>
    </row>
    <row r="60" spans="1:7" s="23" customFormat="1" x14ac:dyDescent="0.25">
      <c r="A60" s="23" t="s">
        <v>3347</v>
      </c>
      <c r="B60" s="135">
        <v>295000</v>
      </c>
      <c r="C60" s="135">
        <v>0</v>
      </c>
      <c r="D60" s="135">
        <v>295000</v>
      </c>
      <c r="E60" s="135">
        <v>16549.18</v>
      </c>
      <c r="F60" s="135">
        <v>16549.18</v>
      </c>
      <c r="G60" s="135">
        <f t="shared" si="0"/>
        <v>278450.82</v>
      </c>
    </row>
    <row r="61" spans="1:7" s="23" customFormat="1" x14ac:dyDescent="0.25">
      <c r="A61" s="23" t="s">
        <v>3348</v>
      </c>
      <c r="B61" s="135">
        <v>21800606.699999999</v>
      </c>
      <c r="C61" s="135">
        <v>11241324.91</v>
      </c>
      <c r="D61" s="135">
        <v>28041931.609999999</v>
      </c>
      <c r="E61" s="135">
        <v>4280489.8</v>
      </c>
      <c r="F61" s="135">
        <v>4279304.28</v>
      </c>
      <c r="G61" s="135">
        <f t="shared" si="0"/>
        <v>23761441.809999999</v>
      </c>
    </row>
    <row r="62" spans="1:7" s="23" customFormat="1" x14ac:dyDescent="0.25">
      <c r="A62" s="23" t="s">
        <v>3349</v>
      </c>
      <c r="B62" s="135">
        <v>5203633.8899999997</v>
      </c>
      <c r="C62" s="135">
        <v>0</v>
      </c>
      <c r="D62" s="135">
        <v>5203633.8899999997</v>
      </c>
      <c r="E62" s="135">
        <v>859421.79</v>
      </c>
      <c r="F62" s="135">
        <v>859421.79</v>
      </c>
      <c r="G62" s="135">
        <f t="shared" si="0"/>
        <v>4344212.0999999996</v>
      </c>
    </row>
    <row r="63" spans="1:7" s="23" customFormat="1" x14ac:dyDescent="0.25">
      <c r="A63" s="23" t="s">
        <v>3350</v>
      </c>
      <c r="B63" s="135">
        <v>1508637.79</v>
      </c>
      <c r="C63" s="135">
        <v>0</v>
      </c>
      <c r="D63" s="135">
        <v>1508637.79</v>
      </c>
      <c r="E63" s="135">
        <v>362752.4</v>
      </c>
      <c r="F63" s="135">
        <v>335295.56</v>
      </c>
      <c r="G63" s="135">
        <f t="shared" si="0"/>
        <v>1145885.3900000001</v>
      </c>
    </row>
    <row r="64" spans="1:7" s="23" customFormat="1" x14ac:dyDescent="0.25">
      <c r="A64" s="23" t="s">
        <v>3351</v>
      </c>
      <c r="B64" s="135">
        <v>1030189.9</v>
      </c>
      <c r="C64" s="135">
        <v>313447.36</v>
      </c>
      <c r="D64" s="135">
        <v>1343637.26</v>
      </c>
      <c r="E64" s="135">
        <v>232977.47</v>
      </c>
      <c r="F64" s="135">
        <v>224365.05</v>
      </c>
      <c r="G64" s="135">
        <f t="shared" si="0"/>
        <v>1110659.79</v>
      </c>
    </row>
    <row r="65" spans="1:7" x14ac:dyDescent="0.25">
      <c r="A65" s="68" t="s">
        <v>678</v>
      </c>
      <c r="B65" s="52"/>
      <c r="C65" s="52"/>
      <c r="D65" s="52"/>
      <c r="E65" s="52"/>
      <c r="F65" s="52"/>
      <c r="G65" s="52"/>
    </row>
    <row r="66" spans="1:7" x14ac:dyDescent="0.25">
      <c r="A66" s="68"/>
      <c r="B66" s="52"/>
      <c r="C66" s="52"/>
      <c r="D66" s="52"/>
      <c r="E66" s="52"/>
      <c r="F66" s="52"/>
      <c r="G66" s="52"/>
    </row>
    <row r="67" spans="1:7" x14ac:dyDescent="0.25">
      <c r="A67" s="68"/>
      <c r="B67" s="52"/>
      <c r="C67" s="52"/>
      <c r="D67" s="52"/>
      <c r="E67" s="52"/>
      <c r="F67" s="52"/>
      <c r="G67" s="52"/>
    </row>
    <row r="68" spans="1:7" x14ac:dyDescent="0.25">
      <c r="A68" s="68"/>
      <c r="B68" s="52"/>
      <c r="C68" s="52"/>
      <c r="D68" s="52"/>
      <c r="E68" s="52"/>
      <c r="F68" s="52"/>
      <c r="G68" s="52"/>
    </row>
    <row r="69" spans="1:7" x14ac:dyDescent="0.25">
      <c r="A69" s="68"/>
      <c r="B69" s="52"/>
      <c r="C69" s="52"/>
      <c r="D69" s="52"/>
      <c r="E69" s="52"/>
      <c r="F69" s="52"/>
      <c r="G69" s="52"/>
    </row>
    <row r="70" spans="1:7" x14ac:dyDescent="0.25">
      <c r="A70" s="68"/>
      <c r="B70" s="52"/>
      <c r="C70" s="52"/>
      <c r="D70" s="52"/>
      <c r="E70" s="52"/>
      <c r="F70" s="52"/>
      <c r="G70" s="52"/>
    </row>
    <row r="71" spans="1:7" x14ac:dyDescent="0.25">
      <c r="A71" s="68"/>
      <c r="B71" s="52"/>
      <c r="C71" s="52"/>
      <c r="D71" s="52"/>
      <c r="E71" s="52"/>
      <c r="F71" s="52"/>
      <c r="G71" s="52"/>
    </row>
    <row r="72" spans="1:7" x14ac:dyDescent="0.25">
      <c r="A72" s="68"/>
      <c r="B72" s="52"/>
      <c r="C72" s="52"/>
      <c r="D72" s="52"/>
      <c r="E72" s="52"/>
      <c r="F72" s="52"/>
      <c r="G72" s="52"/>
    </row>
    <row r="73" spans="1:7" x14ac:dyDescent="0.25">
      <c r="A73" s="68"/>
      <c r="B73" s="52"/>
      <c r="C73" s="52"/>
      <c r="D73" s="52"/>
      <c r="E73" s="52"/>
      <c r="F73" s="52"/>
      <c r="G73" s="52"/>
    </row>
    <row r="74" spans="1:7" x14ac:dyDescent="0.25">
      <c r="A74" s="68"/>
      <c r="B74" s="52"/>
      <c r="C74" s="52"/>
      <c r="D74" s="52"/>
      <c r="E74" s="52"/>
      <c r="F74" s="52"/>
      <c r="G74" s="52"/>
    </row>
    <row r="75" spans="1:7" x14ac:dyDescent="0.25">
      <c r="A75" s="68"/>
      <c r="B75" s="52"/>
      <c r="C75" s="52"/>
      <c r="D75" s="52"/>
      <c r="E75" s="52"/>
      <c r="F75" s="52"/>
      <c r="G75" s="52"/>
    </row>
    <row r="76" spans="1:7" x14ac:dyDescent="0.25">
      <c r="A76" s="68"/>
      <c r="B76" s="52"/>
      <c r="C76" s="52"/>
      <c r="D76" s="52"/>
      <c r="E76" s="52"/>
      <c r="F76" s="52"/>
      <c r="G76" s="52"/>
    </row>
    <row r="77" spans="1:7" x14ac:dyDescent="0.25">
      <c r="A77" s="68"/>
      <c r="B77" s="52"/>
      <c r="C77" s="52"/>
      <c r="D77" s="52"/>
      <c r="E77" s="52"/>
      <c r="F77" s="52"/>
      <c r="G77" s="52"/>
    </row>
    <row r="78" spans="1:7" x14ac:dyDescent="0.25">
      <c r="A78" s="68"/>
      <c r="B78" s="52"/>
      <c r="C78" s="52"/>
      <c r="D78" s="52"/>
      <c r="E78" s="52"/>
      <c r="F78" s="52"/>
      <c r="G78" s="52"/>
    </row>
    <row r="79" spans="1:7" x14ac:dyDescent="0.25">
      <c r="A79" s="68"/>
      <c r="B79" s="52"/>
      <c r="C79" s="52"/>
      <c r="D79" s="52"/>
      <c r="E79" s="52"/>
      <c r="F79" s="52"/>
      <c r="G79" s="52"/>
    </row>
    <row r="80" spans="1:7" x14ac:dyDescent="0.25">
      <c r="A80" s="68"/>
      <c r="B80" s="52"/>
      <c r="C80" s="52"/>
      <c r="D80" s="52"/>
      <c r="E80" s="52"/>
      <c r="F80" s="52"/>
      <c r="G80" s="52"/>
    </row>
    <row r="81" spans="1:7" x14ac:dyDescent="0.25">
      <c r="A81" s="68"/>
      <c r="B81" s="52"/>
      <c r="C81" s="52"/>
      <c r="D81" s="52"/>
      <c r="E81" s="52"/>
      <c r="F81" s="52"/>
      <c r="G81" s="52"/>
    </row>
    <row r="82" spans="1:7" x14ac:dyDescent="0.25">
      <c r="A82" s="68"/>
      <c r="B82" s="52"/>
      <c r="C82" s="52"/>
      <c r="D82" s="52"/>
      <c r="E82" s="52"/>
      <c r="F82" s="52"/>
      <c r="G82" s="52"/>
    </row>
    <row r="83" spans="1:7" x14ac:dyDescent="0.25">
      <c r="A83" s="68"/>
      <c r="B83" s="52"/>
      <c r="C83" s="52"/>
      <c r="D83" s="52"/>
      <c r="E83" s="52"/>
      <c r="F83" s="52"/>
      <c r="G83" s="52"/>
    </row>
    <row r="84" spans="1:7" x14ac:dyDescent="0.25">
      <c r="A84" s="68"/>
      <c r="B84" s="52"/>
      <c r="C84" s="52"/>
      <c r="D84" s="52"/>
      <c r="E84" s="52"/>
      <c r="F84" s="52"/>
      <c r="G84" s="52"/>
    </row>
    <row r="85" spans="1:7" x14ac:dyDescent="0.25">
      <c r="A85" s="68"/>
      <c r="B85" s="52"/>
      <c r="C85" s="52"/>
      <c r="D85" s="52"/>
      <c r="E85" s="52"/>
      <c r="F85" s="52"/>
      <c r="G85" s="52"/>
    </row>
    <row r="86" spans="1:7" x14ac:dyDescent="0.25">
      <c r="A86" s="68"/>
      <c r="B86" s="52"/>
      <c r="C86" s="52"/>
      <c r="D86" s="52"/>
      <c r="E86" s="52"/>
      <c r="F86" s="52"/>
      <c r="G86" s="52"/>
    </row>
    <row r="87" spans="1:7" x14ac:dyDescent="0.25">
      <c r="A87" s="68"/>
      <c r="B87" s="52"/>
      <c r="C87" s="52"/>
      <c r="D87" s="52"/>
      <c r="E87" s="52"/>
      <c r="F87" s="52"/>
      <c r="G87" s="52"/>
    </row>
    <row r="88" spans="1:7" x14ac:dyDescent="0.25">
      <c r="A88" s="68"/>
      <c r="B88" s="52"/>
      <c r="C88" s="52"/>
      <c r="D88" s="52"/>
      <c r="E88" s="52"/>
      <c r="F88" s="52"/>
      <c r="G88" s="52"/>
    </row>
    <row r="89" spans="1:7" x14ac:dyDescent="0.25">
      <c r="A89" s="68"/>
      <c r="B89" s="52"/>
      <c r="C89" s="52"/>
      <c r="D89" s="52"/>
      <c r="E89" s="52"/>
      <c r="F89" s="52"/>
      <c r="G89" s="52"/>
    </row>
    <row r="90" spans="1:7" x14ac:dyDescent="0.25">
      <c r="A90" s="68"/>
      <c r="B90" s="52"/>
      <c r="C90" s="52"/>
      <c r="D90" s="52"/>
      <c r="E90" s="52"/>
      <c r="F90" s="52"/>
      <c r="G90" s="52"/>
    </row>
    <row r="91" spans="1:7" x14ac:dyDescent="0.25">
      <c r="A91" s="68"/>
      <c r="B91" s="52"/>
      <c r="C91" s="52"/>
      <c r="D91" s="52"/>
      <c r="E91" s="52"/>
      <c r="F91" s="52"/>
      <c r="G91" s="52"/>
    </row>
    <row r="92" spans="1:7" x14ac:dyDescent="0.25">
      <c r="A92" s="68"/>
      <c r="B92" s="52"/>
      <c r="C92" s="52"/>
      <c r="D92" s="52"/>
      <c r="E92" s="52"/>
      <c r="F92" s="52"/>
      <c r="G92" s="52"/>
    </row>
    <row r="93" spans="1:7" x14ac:dyDescent="0.25">
      <c r="A93" s="68"/>
      <c r="B93" s="52"/>
      <c r="C93" s="52"/>
      <c r="D93" s="52"/>
      <c r="E93" s="52"/>
      <c r="F93" s="52"/>
      <c r="G93" s="52"/>
    </row>
    <row r="94" spans="1:7" x14ac:dyDescent="0.25">
      <c r="A94" s="68"/>
      <c r="B94" s="52"/>
      <c r="C94" s="52"/>
      <c r="D94" s="52"/>
      <c r="E94" s="52"/>
      <c r="F94" s="52"/>
      <c r="G94" s="52"/>
    </row>
    <row r="95" spans="1:7" x14ac:dyDescent="0.25">
      <c r="A95" s="68"/>
      <c r="B95" s="52"/>
      <c r="C95" s="52"/>
      <c r="D95" s="52"/>
      <c r="E95" s="52"/>
      <c r="F95" s="52"/>
      <c r="G95" s="52"/>
    </row>
    <row r="96" spans="1:7" x14ac:dyDescent="0.25">
      <c r="A96" s="68"/>
      <c r="B96" s="52"/>
      <c r="C96" s="52"/>
      <c r="D96" s="52"/>
      <c r="E96" s="52"/>
      <c r="F96" s="52"/>
      <c r="G96" s="52"/>
    </row>
    <row r="97" spans="1:7" x14ac:dyDescent="0.25">
      <c r="A97" s="68"/>
      <c r="B97" s="52"/>
      <c r="C97" s="52"/>
      <c r="D97" s="52"/>
      <c r="E97" s="52"/>
      <c r="F97" s="52"/>
      <c r="G97" s="52"/>
    </row>
    <row r="98" spans="1:7" x14ac:dyDescent="0.25">
      <c r="A98" s="68"/>
      <c r="B98" s="52"/>
      <c r="C98" s="52"/>
      <c r="D98" s="52"/>
      <c r="E98" s="52"/>
      <c r="F98" s="52"/>
      <c r="G98" s="52"/>
    </row>
    <row r="99" spans="1:7" x14ac:dyDescent="0.25">
      <c r="A99" s="68"/>
      <c r="B99" s="52"/>
      <c r="C99" s="52"/>
      <c r="D99" s="52"/>
      <c r="E99" s="52"/>
      <c r="F99" s="52"/>
      <c r="G99" s="52"/>
    </row>
    <row r="100" spans="1:7" x14ac:dyDescent="0.25">
      <c r="A100" s="68"/>
      <c r="B100" s="52"/>
      <c r="C100" s="52"/>
      <c r="D100" s="52"/>
      <c r="E100" s="52"/>
      <c r="F100" s="52"/>
      <c r="G100" s="52"/>
    </row>
    <row r="101" spans="1:7" x14ac:dyDescent="0.25">
      <c r="A101" s="68"/>
      <c r="B101" s="52"/>
      <c r="C101" s="52"/>
      <c r="D101" s="52"/>
      <c r="E101" s="52"/>
      <c r="F101" s="52"/>
      <c r="G101" s="52"/>
    </row>
    <row r="102" spans="1:7" x14ac:dyDescent="0.25">
      <c r="A102" s="68"/>
      <c r="B102" s="52"/>
      <c r="C102" s="52"/>
      <c r="D102" s="52"/>
      <c r="E102" s="52"/>
      <c r="F102" s="52"/>
      <c r="G102" s="52"/>
    </row>
    <row r="103" spans="1:7" x14ac:dyDescent="0.25">
      <c r="A103" s="68"/>
      <c r="B103" s="52"/>
      <c r="C103" s="52"/>
      <c r="D103" s="52"/>
      <c r="E103" s="52"/>
      <c r="F103" s="52"/>
      <c r="G103" s="52"/>
    </row>
    <row r="104" spans="1:7" x14ac:dyDescent="0.25">
      <c r="A104" s="68"/>
      <c r="B104" s="52"/>
      <c r="C104" s="52"/>
      <c r="D104" s="52"/>
      <c r="E104" s="52"/>
      <c r="F104" s="52"/>
      <c r="G104" s="52"/>
    </row>
    <row r="105" spans="1:7" x14ac:dyDescent="0.25">
      <c r="A105" s="68"/>
      <c r="B105" s="52"/>
      <c r="C105" s="52"/>
      <c r="D105" s="52"/>
      <c r="E105" s="52"/>
      <c r="F105" s="52"/>
      <c r="G105" s="52"/>
    </row>
    <row r="106" spans="1:7" x14ac:dyDescent="0.25">
      <c r="A106" s="68"/>
      <c r="B106" s="52"/>
      <c r="C106" s="52"/>
      <c r="D106" s="52"/>
      <c r="E106" s="52"/>
      <c r="F106" s="52"/>
      <c r="G106" s="52"/>
    </row>
    <row r="107" spans="1:7" x14ac:dyDescent="0.25">
      <c r="A107" s="68"/>
      <c r="B107" s="52"/>
      <c r="C107" s="52"/>
      <c r="D107" s="52"/>
      <c r="E107" s="52"/>
      <c r="F107" s="52"/>
      <c r="G107" s="52"/>
    </row>
    <row r="108" spans="1:7" x14ac:dyDescent="0.25">
      <c r="A108" s="68"/>
      <c r="B108" s="52"/>
      <c r="C108" s="52"/>
      <c r="D108" s="52"/>
      <c r="E108" s="52"/>
      <c r="F108" s="52"/>
      <c r="G108" s="52"/>
    </row>
    <row r="109" spans="1:7" x14ac:dyDescent="0.25">
      <c r="A109" s="68"/>
      <c r="B109" s="52"/>
      <c r="C109" s="52"/>
      <c r="D109" s="52"/>
      <c r="E109" s="52"/>
      <c r="F109" s="52"/>
      <c r="G109" s="52"/>
    </row>
    <row r="110" spans="1:7" x14ac:dyDescent="0.25">
      <c r="A110" s="68"/>
      <c r="B110" s="52"/>
      <c r="C110" s="52"/>
      <c r="D110" s="52"/>
      <c r="E110" s="52"/>
      <c r="F110" s="52"/>
      <c r="G110" s="52"/>
    </row>
    <row r="111" spans="1:7" x14ac:dyDescent="0.25">
      <c r="A111" s="68"/>
      <c r="B111" s="52"/>
      <c r="C111" s="52"/>
      <c r="D111" s="52"/>
      <c r="E111" s="52"/>
      <c r="F111" s="52"/>
      <c r="G111" s="52"/>
    </row>
    <row r="112" spans="1:7" x14ac:dyDescent="0.25">
      <c r="A112" s="68"/>
      <c r="B112" s="52"/>
      <c r="C112" s="52"/>
      <c r="D112" s="52"/>
      <c r="E112" s="52"/>
      <c r="F112" s="52"/>
      <c r="G112" s="52"/>
    </row>
    <row r="113" spans="1:7" x14ac:dyDescent="0.25">
      <c r="A113" s="68"/>
      <c r="B113" s="52"/>
      <c r="C113" s="52"/>
      <c r="D113" s="52"/>
      <c r="E113" s="52"/>
      <c r="F113" s="52"/>
      <c r="G113" s="52"/>
    </row>
    <row r="114" spans="1:7" s="23" customFormat="1" x14ac:dyDescent="0.25">
      <c r="A114" s="53" t="s">
        <v>433</v>
      </c>
      <c r="B114" s="134">
        <f>SUM(B115:GASTO_E_FIN_01)</f>
        <v>211659985</v>
      </c>
      <c r="C114" s="134">
        <f>SUM(C115:GASTO_E_FIN_02)</f>
        <v>39609341.850000001</v>
      </c>
      <c r="D114" s="134">
        <f>SUM(D115:GASTO_E_FIN_03)</f>
        <v>251269326.85000002</v>
      </c>
      <c r="E114" s="134">
        <f>SUM(E115:GASTO_E_FIN_04)</f>
        <v>53591603.780000001</v>
      </c>
      <c r="F114" s="134">
        <f>SUM(F115:GASTO_E_FIN_05)</f>
        <v>53265286.980000004</v>
      </c>
      <c r="G114" s="134">
        <f>SUM(G115:GASTO_E_FIN_06)</f>
        <v>188031441.55000001</v>
      </c>
    </row>
    <row r="115" spans="1:7" s="23" customFormat="1" x14ac:dyDescent="0.25">
      <c r="A115" s="23" t="s">
        <v>3324</v>
      </c>
      <c r="B115" s="135">
        <v>1130500</v>
      </c>
      <c r="C115" s="135">
        <v>0</v>
      </c>
      <c r="D115" s="135">
        <v>1130500</v>
      </c>
      <c r="E115" s="135">
        <v>0</v>
      </c>
      <c r="F115" s="135">
        <v>0</v>
      </c>
      <c r="G115" s="135">
        <f>D115-E115</f>
        <v>1130500</v>
      </c>
    </row>
    <row r="116" spans="1:7" s="23" customFormat="1" x14ac:dyDescent="0.25">
      <c r="A116" s="23" t="s">
        <v>3325</v>
      </c>
      <c r="B116" s="135">
        <v>1200000</v>
      </c>
      <c r="C116" s="135">
        <v>0</v>
      </c>
      <c r="D116" s="135">
        <v>1200000</v>
      </c>
      <c r="E116" s="135">
        <v>107159.98</v>
      </c>
      <c r="F116" s="135">
        <v>99213.98</v>
      </c>
      <c r="G116" s="135"/>
    </row>
    <row r="117" spans="1:7" s="23" customFormat="1" x14ac:dyDescent="0.25">
      <c r="A117" s="23" t="s">
        <v>3326</v>
      </c>
      <c r="B117" s="135">
        <v>1500000</v>
      </c>
      <c r="C117" s="135">
        <v>0</v>
      </c>
      <c r="D117" s="135">
        <v>1500000</v>
      </c>
      <c r="E117" s="135">
        <v>550473.02</v>
      </c>
      <c r="F117" s="135">
        <v>359282.02</v>
      </c>
      <c r="G117" s="135"/>
    </row>
    <row r="118" spans="1:7" s="23" customFormat="1" x14ac:dyDescent="0.25">
      <c r="A118" s="23" t="s">
        <v>3328</v>
      </c>
      <c r="B118" s="135">
        <v>530000</v>
      </c>
      <c r="C118" s="135">
        <v>1000000</v>
      </c>
      <c r="D118" s="135">
        <v>1530000</v>
      </c>
      <c r="E118" s="135">
        <v>119575.96</v>
      </c>
      <c r="F118" s="135">
        <v>119192.96000000001</v>
      </c>
      <c r="G118" s="135"/>
    </row>
    <row r="119" spans="1:7" s="23" customFormat="1" x14ac:dyDescent="0.25">
      <c r="A119" s="23" t="s">
        <v>3329</v>
      </c>
      <c r="B119" s="135">
        <v>0</v>
      </c>
      <c r="C119" s="135">
        <v>0</v>
      </c>
      <c r="D119" s="135">
        <v>0</v>
      </c>
      <c r="E119" s="135">
        <v>0</v>
      </c>
      <c r="F119" s="135">
        <v>0</v>
      </c>
      <c r="G119" s="135">
        <f t="shared" ref="G119:G127" si="1">D119-E119</f>
        <v>0</v>
      </c>
    </row>
    <row r="120" spans="1:7" s="23" customFormat="1" x14ac:dyDescent="0.25">
      <c r="A120" s="23" t="s">
        <v>3330</v>
      </c>
      <c r="B120" s="135">
        <v>2520000</v>
      </c>
      <c r="C120" s="135">
        <v>121574.08</v>
      </c>
      <c r="D120" s="135">
        <v>2641574.08</v>
      </c>
      <c r="E120" s="135">
        <v>794236.83</v>
      </c>
      <c r="F120" s="135">
        <v>794236.83</v>
      </c>
      <c r="G120" s="135">
        <f t="shared" si="1"/>
        <v>1847337.25</v>
      </c>
    </row>
    <row r="121" spans="1:7" s="23" customFormat="1" x14ac:dyDescent="0.25">
      <c r="A121" s="23" t="s">
        <v>3342</v>
      </c>
      <c r="B121" s="135">
        <v>92419532.719999999</v>
      </c>
      <c r="C121" s="135">
        <v>2515050.64</v>
      </c>
      <c r="D121" s="135">
        <v>94934583.359999999</v>
      </c>
      <c r="E121" s="135">
        <v>21017453.57</v>
      </c>
      <c r="F121" s="135">
        <v>20906015.57</v>
      </c>
      <c r="G121" s="135">
        <f t="shared" si="1"/>
        <v>73917129.789999992</v>
      </c>
    </row>
    <row r="122" spans="1:7" s="23" customFormat="1" x14ac:dyDescent="0.25">
      <c r="A122" s="23" t="s">
        <v>3343</v>
      </c>
      <c r="B122" s="135">
        <v>13534132.09</v>
      </c>
      <c r="C122" s="135">
        <v>0</v>
      </c>
      <c r="D122" s="135">
        <v>13534132.09</v>
      </c>
      <c r="E122" s="135">
        <v>1295051.67</v>
      </c>
      <c r="F122" s="135">
        <v>1295051.67</v>
      </c>
      <c r="G122" s="135">
        <f t="shared" si="1"/>
        <v>12239080.42</v>
      </c>
    </row>
    <row r="123" spans="1:7" s="23" customFormat="1" x14ac:dyDescent="0.25">
      <c r="A123" s="23" t="s">
        <v>3344</v>
      </c>
      <c r="B123" s="135">
        <v>1858978.22</v>
      </c>
      <c r="C123" s="135">
        <v>0</v>
      </c>
      <c r="D123" s="135">
        <v>1858978.22</v>
      </c>
      <c r="E123" s="135">
        <v>139991</v>
      </c>
      <c r="F123" s="135">
        <v>139991</v>
      </c>
      <c r="G123" s="135">
        <f t="shared" si="1"/>
        <v>1718987.22</v>
      </c>
    </row>
    <row r="124" spans="1:7" s="23" customFormat="1" x14ac:dyDescent="0.25">
      <c r="A124" s="23" t="s">
        <v>3345</v>
      </c>
      <c r="B124" s="135">
        <v>747772.65</v>
      </c>
      <c r="C124" s="135">
        <v>0</v>
      </c>
      <c r="D124" s="135">
        <v>747772.65</v>
      </c>
      <c r="E124" s="135">
        <v>84513.47</v>
      </c>
      <c r="F124" s="135">
        <v>84513.47</v>
      </c>
      <c r="G124" s="135">
        <f t="shared" si="1"/>
        <v>663259.18000000005</v>
      </c>
    </row>
    <row r="125" spans="1:7" s="23" customFormat="1" x14ac:dyDescent="0.25">
      <c r="A125" s="23" t="s">
        <v>3346</v>
      </c>
      <c r="B125" s="135">
        <v>5269725.75</v>
      </c>
      <c r="C125" s="135">
        <v>88178.32</v>
      </c>
      <c r="D125" s="135">
        <v>5357904.07</v>
      </c>
      <c r="E125" s="135">
        <v>1150743</v>
      </c>
      <c r="F125" s="135">
        <v>1135384.2</v>
      </c>
      <c r="G125" s="135"/>
    </row>
    <row r="126" spans="1:7" s="23" customFormat="1" x14ac:dyDescent="0.25">
      <c r="A126" s="23" t="s">
        <v>3347</v>
      </c>
      <c r="B126" s="135">
        <v>1988469.37</v>
      </c>
      <c r="C126" s="135">
        <v>0</v>
      </c>
      <c r="D126" s="135">
        <v>1988469.37</v>
      </c>
      <c r="E126" s="135">
        <v>2139.96</v>
      </c>
      <c r="F126" s="135">
        <v>2139.96</v>
      </c>
      <c r="G126" s="135"/>
    </row>
    <row r="127" spans="1:7" s="23" customFormat="1" x14ac:dyDescent="0.25">
      <c r="A127" s="23" t="s">
        <v>3348</v>
      </c>
      <c r="B127" s="135">
        <v>88960874.200000003</v>
      </c>
      <c r="C127" s="135">
        <v>35884538.810000002</v>
      </c>
      <c r="D127" s="135">
        <v>124845413.01000001</v>
      </c>
      <c r="E127" s="135">
        <v>28330265.32</v>
      </c>
      <c r="F127" s="135">
        <v>28330265.32</v>
      </c>
      <c r="G127" s="135">
        <f t="shared" si="1"/>
        <v>96515147.689999998</v>
      </c>
    </row>
    <row r="128" spans="1:7" x14ac:dyDescent="0.25">
      <c r="A128" s="68" t="s">
        <v>678</v>
      </c>
      <c r="B128" s="52"/>
      <c r="C128" s="52"/>
      <c r="D128" s="52"/>
      <c r="E128" s="52"/>
      <c r="F128" s="52"/>
      <c r="G128" s="52"/>
    </row>
    <row r="129" spans="1:7" x14ac:dyDescent="0.25">
      <c r="A129" s="53" t="s">
        <v>360</v>
      </c>
      <c r="B129" s="134">
        <f>GASTO_NE_T1+GASTO_E_T1</f>
        <v>594106494.11999989</v>
      </c>
      <c r="C129" s="134">
        <f>GASTO_NE_T2+GASTO_E_T2</f>
        <v>121100245.91999999</v>
      </c>
      <c r="D129" s="134">
        <f>GASTO_NE_T3+GASTO_E_T3</f>
        <v>709398695.13999999</v>
      </c>
      <c r="E129" s="134">
        <f>GASTO_NE_T4+GASTO_E_T4</f>
        <v>153814246.33000004</v>
      </c>
      <c r="F129" s="134">
        <f>GASTO_NE_T5+GASTO_E_T5</f>
        <v>149179920.06000003</v>
      </c>
      <c r="G129" s="134">
        <f>GASTO_NE_T6+GASTO_E_T6</f>
        <v>545938167.28999996</v>
      </c>
    </row>
    <row r="130" spans="1:7" x14ac:dyDescent="0.25">
      <c r="A130" s="56"/>
      <c r="B130" s="63"/>
      <c r="C130" s="63"/>
      <c r="D130" s="63"/>
      <c r="E130" s="63"/>
      <c r="F130" s="63"/>
      <c r="G130" s="69"/>
    </row>
    <row r="131" spans="1:7" ht="14.25" hidden="1" x14ac:dyDescent="0.45">
      <c r="A131" s="11"/>
    </row>
    <row r="132" spans="1:7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29" xr:uid="{00000000-0002-0000-0F00-000000000000}">
      <formula1>-1.79769313486231E+100</formula1>
      <formula2>1.79769313486231E+100</formula2>
    </dataValidation>
  </dataValidations>
  <pageMargins left="0.19685039370078741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382446509.11999995</v>
      </c>
      <c r="Q2" s="18">
        <f>GASTO_NE_T2</f>
        <v>81490904.069999993</v>
      </c>
      <c r="R2" s="18">
        <f>GASTO_NE_T3</f>
        <v>458129368.28999996</v>
      </c>
      <c r="S2" s="18">
        <f>GASTO_NE_T4</f>
        <v>100222642.55000006</v>
      </c>
      <c r="T2" s="18">
        <f>GASTO_NE_T5</f>
        <v>95914633.080000028</v>
      </c>
      <c r="U2" s="18">
        <f>GASTO_NE_T6</f>
        <v>357906725.74000001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211659985</v>
      </c>
      <c r="Q3" s="18">
        <f>GASTO_E_T2</f>
        <v>39609341.850000001</v>
      </c>
      <c r="R3" s="18">
        <f>GASTO_E_T3</f>
        <v>251269326.85000002</v>
      </c>
      <c r="S3" s="18">
        <f>GASTO_E_T4</f>
        <v>53591603.780000001</v>
      </c>
      <c r="T3" s="18">
        <f>GASTO_E_T5</f>
        <v>53265286.980000004</v>
      </c>
      <c r="U3" s="18">
        <f>GASTO_E_T6</f>
        <v>188031441.55000001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594106494.11999989</v>
      </c>
      <c r="Q4" s="18">
        <f>TOTAL_E_T2</f>
        <v>121100245.91999999</v>
      </c>
      <c r="R4" s="18">
        <f>TOTAL_E_T3</f>
        <v>709398695.13999999</v>
      </c>
      <c r="S4" s="18">
        <f>TOTAL_E_T4</f>
        <v>153814246.33000004</v>
      </c>
      <c r="T4" s="18">
        <f>TOTAL_E_T5</f>
        <v>149179920.06000003</v>
      </c>
      <c r="U4" s="18">
        <f>TOTAL_E_T6</f>
        <v>545938167.28999996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67" t="s">
        <v>3281</v>
      </c>
      <c r="B1" s="168"/>
      <c r="C1" s="168"/>
      <c r="D1" s="168"/>
      <c r="E1" s="168"/>
      <c r="F1" s="168"/>
      <c r="G1" s="168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5" t="s">
        <v>396</v>
      </c>
      <c r="B3" s="146"/>
      <c r="C3" s="146"/>
      <c r="D3" s="146"/>
      <c r="E3" s="146"/>
      <c r="F3" s="146"/>
      <c r="G3" s="147"/>
    </row>
    <row r="4" spans="1:7" x14ac:dyDescent="0.25">
      <c r="A4" s="145" t="s">
        <v>397</v>
      </c>
      <c r="B4" s="146"/>
      <c r="C4" s="146"/>
      <c r="D4" s="146"/>
      <c r="E4" s="146"/>
      <c r="F4" s="146"/>
      <c r="G4" s="147"/>
    </row>
    <row r="5" spans="1:7" ht="14.25" x14ac:dyDescent="0.45">
      <c r="A5" s="148" t="str">
        <f>TRIMESTRE</f>
        <v>Del 1 de enero al 30 de marzo de 2020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46" t="s">
        <v>0</v>
      </c>
      <c r="B7" s="151" t="s">
        <v>279</v>
      </c>
      <c r="C7" s="152"/>
      <c r="D7" s="152"/>
      <c r="E7" s="152"/>
      <c r="F7" s="153"/>
      <c r="G7" s="163" t="s">
        <v>3278</v>
      </c>
    </row>
    <row r="8" spans="1:7" ht="30.75" customHeight="1" x14ac:dyDescent="0.25">
      <c r="A8" s="146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162"/>
    </row>
    <row r="9" spans="1:7" x14ac:dyDescent="0.25">
      <c r="A9" s="50" t="s">
        <v>363</v>
      </c>
      <c r="B9" s="134">
        <v>382446509.12</v>
      </c>
      <c r="C9" s="134">
        <v>75682859.169999987</v>
      </c>
      <c r="D9" s="134">
        <v>458129368.28999996</v>
      </c>
      <c r="E9" s="134">
        <v>100222642.55000001</v>
      </c>
      <c r="F9" s="134">
        <v>95914633.079999998</v>
      </c>
      <c r="G9" s="134">
        <v>357906725.74000001</v>
      </c>
    </row>
    <row r="10" spans="1:7" x14ac:dyDescent="0.25">
      <c r="A10" s="51" t="s">
        <v>364</v>
      </c>
      <c r="B10" s="134">
        <v>222437494.25</v>
      </c>
      <c r="C10" s="134">
        <v>12315008.379999999</v>
      </c>
      <c r="D10" s="134">
        <v>234752502.63</v>
      </c>
      <c r="E10" s="134">
        <v>55646284.730000004</v>
      </c>
      <c r="F10" s="134">
        <v>51547838.729999997</v>
      </c>
      <c r="G10" s="134">
        <v>179106217.90000001</v>
      </c>
    </row>
    <row r="11" spans="1:7" x14ac:dyDescent="0.25">
      <c r="A11" s="61" t="s">
        <v>365</v>
      </c>
      <c r="B11" s="135">
        <v>2503978.13</v>
      </c>
      <c r="C11" s="135">
        <v>0</v>
      </c>
      <c r="D11" s="135">
        <v>2503978.13</v>
      </c>
      <c r="E11" s="135">
        <v>369855.94</v>
      </c>
      <c r="F11" s="135">
        <v>369855.94</v>
      </c>
      <c r="G11" s="135">
        <v>2134122.19</v>
      </c>
    </row>
    <row r="12" spans="1:7" x14ac:dyDescent="0.25">
      <c r="A12" s="61" t="s">
        <v>366</v>
      </c>
      <c r="B12" s="135">
        <v>1730206.76</v>
      </c>
      <c r="C12" s="135">
        <v>100000</v>
      </c>
      <c r="D12" s="135">
        <v>1830206.76</v>
      </c>
      <c r="E12" s="135">
        <v>245666.54</v>
      </c>
      <c r="F12" s="135">
        <v>245666.54</v>
      </c>
      <c r="G12" s="135">
        <v>1584540.22</v>
      </c>
    </row>
    <row r="13" spans="1:7" x14ac:dyDescent="0.25">
      <c r="A13" s="61" t="s">
        <v>367</v>
      </c>
      <c r="B13" s="135">
        <v>57823371.880000003</v>
      </c>
      <c r="C13" s="135">
        <v>1464903.4</v>
      </c>
      <c r="D13" s="135">
        <v>59288275.280000001</v>
      </c>
      <c r="E13" s="135">
        <v>11907671.810000001</v>
      </c>
      <c r="F13" s="135">
        <v>11698837.74</v>
      </c>
      <c r="G13" s="135">
        <v>47380603.469999999</v>
      </c>
    </row>
    <row r="14" spans="1:7" x14ac:dyDescent="0.25">
      <c r="A14" s="61" t="s">
        <v>368</v>
      </c>
      <c r="B14" s="135"/>
      <c r="C14" s="135"/>
      <c r="D14" s="135">
        <v>0</v>
      </c>
      <c r="E14" s="135"/>
      <c r="F14" s="135"/>
      <c r="G14" s="135">
        <v>0</v>
      </c>
    </row>
    <row r="15" spans="1:7" x14ac:dyDescent="0.25">
      <c r="A15" s="61" t="s">
        <v>369</v>
      </c>
      <c r="B15" s="135">
        <v>88569635.269999996</v>
      </c>
      <c r="C15" s="135">
        <v>6671371.3200000003</v>
      </c>
      <c r="D15" s="135">
        <v>95241006.590000004</v>
      </c>
      <c r="E15" s="135">
        <v>21838130.949999999</v>
      </c>
      <c r="F15" s="135">
        <v>21456053.539999999</v>
      </c>
      <c r="G15" s="135">
        <v>73402875.640000001</v>
      </c>
    </row>
    <row r="16" spans="1:7" x14ac:dyDescent="0.25">
      <c r="A16" s="61" t="s">
        <v>370</v>
      </c>
      <c r="B16" s="135"/>
      <c r="C16" s="135"/>
      <c r="D16" s="135">
        <v>0</v>
      </c>
      <c r="E16" s="135"/>
      <c r="F16" s="135"/>
      <c r="G16" s="135">
        <v>0</v>
      </c>
    </row>
    <row r="17" spans="1:7" x14ac:dyDescent="0.25">
      <c r="A17" s="61" t="s">
        <v>371</v>
      </c>
      <c r="B17" s="135">
        <v>6935000</v>
      </c>
      <c r="C17" s="135">
        <v>803989.28</v>
      </c>
      <c r="D17" s="135">
        <v>7738989.2800000003</v>
      </c>
      <c r="E17" s="135">
        <v>666127.03</v>
      </c>
      <c r="F17" s="135">
        <v>620129.18000000005</v>
      </c>
      <c r="G17" s="135">
        <v>7072862.25</v>
      </c>
    </row>
    <row r="18" spans="1:7" x14ac:dyDescent="0.25">
      <c r="A18" s="61" t="s">
        <v>372</v>
      </c>
      <c r="B18" s="135">
        <v>64875302.210000001</v>
      </c>
      <c r="C18" s="135">
        <v>3274744.38</v>
      </c>
      <c r="D18" s="135">
        <v>68150046.590000004</v>
      </c>
      <c r="E18" s="135">
        <v>20618832.460000001</v>
      </c>
      <c r="F18" s="135">
        <v>17157295.789999999</v>
      </c>
      <c r="G18" s="135">
        <v>47531214.130000003</v>
      </c>
    </row>
    <row r="19" spans="1:7" x14ac:dyDescent="0.25">
      <c r="A19" s="51" t="s">
        <v>373</v>
      </c>
      <c r="B19" s="134">
        <v>109998826.65000001</v>
      </c>
      <c r="C19" s="134">
        <v>19775593.989999998</v>
      </c>
      <c r="D19" s="134">
        <v>129774420.64</v>
      </c>
      <c r="E19" s="134">
        <v>18049710.289999999</v>
      </c>
      <c r="F19" s="134">
        <v>17858678.539999999</v>
      </c>
      <c r="G19" s="134">
        <v>111724710.34999999</v>
      </c>
    </row>
    <row r="20" spans="1:7" x14ac:dyDescent="0.25">
      <c r="A20" s="61" t="s">
        <v>374</v>
      </c>
      <c r="B20" s="135">
        <v>2357922.7599999998</v>
      </c>
      <c r="C20" s="135">
        <v>15000</v>
      </c>
      <c r="D20" s="135">
        <v>2372922.7599999998</v>
      </c>
      <c r="E20" s="135">
        <v>361960.29</v>
      </c>
      <c r="F20" s="135">
        <v>361960.29</v>
      </c>
      <c r="G20" s="135">
        <v>2010962.4699999997</v>
      </c>
    </row>
    <row r="21" spans="1:7" x14ac:dyDescent="0.25">
      <c r="A21" s="61" t="s">
        <v>375</v>
      </c>
      <c r="B21" s="135">
        <v>93742037.569999993</v>
      </c>
      <c r="C21" s="135">
        <v>18604257.75</v>
      </c>
      <c r="D21" s="135">
        <v>112346295.31999999</v>
      </c>
      <c r="E21" s="135">
        <v>14852612.619999999</v>
      </c>
      <c r="F21" s="135">
        <v>14714705.029999999</v>
      </c>
      <c r="G21" s="135">
        <v>97493682.699999988</v>
      </c>
    </row>
    <row r="22" spans="1:7" x14ac:dyDescent="0.25">
      <c r="A22" s="61" t="s">
        <v>376</v>
      </c>
      <c r="B22" s="135"/>
      <c r="C22" s="135"/>
      <c r="D22" s="135">
        <v>0</v>
      </c>
      <c r="E22" s="135"/>
      <c r="F22" s="135"/>
      <c r="G22" s="135">
        <v>0</v>
      </c>
    </row>
    <row r="23" spans="1:7" x14ac:dyDescent="0.25">
      <c r="A23" s="61" t="s">
        <v>377</v>
      </c>
      <c r="B23" s="135">
        <v>5011383.82</v>
      </c>
      <c r="C23" s="135">
        <v>542888.88</v>
      </c>
      <c r="D23" s="135">
        <v>5554272.7000000002</v>
      </c>
      <c r="E23" s="135">
        <v>1064800.17</v>
      </c>
      <c r="F23" s="135">
        <v>1047745.27</v>
      </c>
      <c r="G23" s="135">
        <v>4489472.53</v>
      </c>
    </row>
    <row r="24" spans="1:7" x14ac:dyDescent="0.25">
      <c r="A24" s="61" t="s">
        <v>378</v>
      </c>
      <c r="B24" s="135">
        <v>6348654.8099999996</v>
      </c>
      <c r="C24" s="135">
        <v>300000</v>
      </c>
      <c r="D24" s="135">
        <v>6648654.8099999996</v>
      </c>
      <c r="E24" s="135">
        <v>1174607.3400000001</v>
      </c>
      <c r="F24" s="135">
        <v>1174607.3400000001</v>
      </c>
      <c r="G24" s="135">
        <v>5474047.4699999997</v>
      </c>
    </row>
    <row r="25" spans="1:7" x14ac:dyDescent="0.25">
      <c r="A25" s="61" t="s">
        <v>379</v>
      </c>
      <c r="B25" s="135"/>
      <c r="C25" s="135"/>
      <c r="D25" s="135">
        <v>0</v>
      </c>
      <c r="E25" s="135"/>
      <c r="F25" s="135"/>
      <c r="G25" s="135">
        <v>0</v>
      </c>
    </row>
    <row r="26" spans="1:7" x14ac:dyDescent="0.25">
      <c r="A26" s="61" t="s">
        <v>380</v>
      </c>
      <c r="B26" s="135">
        <v>2538827.69</v>
      </c>
      <c r="C26" s="135">
        <v>313447.36</v>
      </c>
      <c r="D26" s="135">
        <v>2852275.05</v>
      </c>
      <c r="E26" s="135">
        <v>595729.87</v>
      </c>
      <c r="F26" s="135">
        <v>559660.61</v>
      </c>
      <c r="G26" s="135">
        <v>2256545.1799999997</v>
      </c>
    </row>
    <row r="27" spans="1:7" x14ac:dyDescent="0.25">
      <c r="A27" s="51" t="s">
        <v>381</v>
      </c>
      <c r="B27" s="134">
        <v>50010188.219999999</v>
      </c>
      <c r="C27" s="134">
        <v>43592256.799999997</v>
      </c>
      <c r="D27" s="134">
        <v>93602445.019999996</v>
      </c>
      <c r="E27" s="134">
        <v>26526647.530000001</v>
      </c>
      <c r="F27" s="134">
        <v>26508115.809999999</v>
      </c>
      <c r="G27" s="134">
        <v>67075797.489999995</v>
      </c>
    </row>
    <row r="28" spans="1:7" x14ac:dyDescent="0.25">
      <c r="A28" s="65" t="s">
        <v>382</v>
      </c>
      <c r="B28" s="135">
        <v>50010188.219999999</v>
      </c>
      <c r="C28" s="135">
        <v>43592256.799999997</v>
      </c>
      <c r="D28" s="135">
        <v>93602445.019999996</v>
      </c>
      <c r="E28" s="135">
        <v>26526647.530000001</v>
      </c>
      <c r="F28" s="135">
        <v>26508115.809999999</v>
      </c>
      <c r="G28" s="135">
        <v>67075797.489999995</v>
      </c>
    </row>
    <row r="29" spans="1:7" x14ac:dyDescent="0.25">
      <c r="A29" s="61" t="s">
        <v>383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f t="shared" ref="G29:G36" si="0">D29-E29</f>
        <v>0</v>
      </c>
    </row>
    <row r="30" spans="1:7" x14ac:dyDescent="0.25">
      <c r="A30" s="61" t="s">
        <v>384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f t="shared" si="0"/>
        <v>0</v>
      </c>
    </row>
    <row r="31" spans="1:7" x14ac:dyDescent="0.25">
      <c r="A31" s="61" t="s">
        <v>385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f t="shared" si="0"/>
        <v>0</v>
      </c>
    </row>
    <row r="32" spans="1:7" x14ac:dyDescent="0.25">
      <c r="A32" s="61" t="s">
        <v>386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f t="shared" si="0"/>
        <v>0</v>
      </c>
    </row>
    <row r="33" spans="1:7" x14ac:dyDescent="0.25">
      <c r="A33" s="61" t="s">
        <v>387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f t="shared" si="0"/>
        <v>0</v>
      </c>
    </row>
    <row r="34" spans="1:7" x14ac:dyDescent="0.25">
      <c r="A34" s="61" t="s">
        <v>388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f t="shared" si="0"/>
        <v>0</v>
      </c>
    </row>
    <row r="35" spans="1:7" x14ac:dyDescent="0.25">
      <c r="A35" s="61" t="s">
        <v>389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f t="shared" si="0"/>
        <v>0</v>
      </c>
    </row>
    <row r="36" spans="1:7" x14ac:dyDescent="0.25">
      <c r="A36" s="61" t="s">
        <v>390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f t="shared" si="0"/>
        <v>0</v>
      </c>
    </row>
    <row r="37" spans="1:7" ht="30" x14ac:dyDescent="0.25">
      <c r="A37" s="62" t="s">
        <v>398</v>
      </c>
      <c r="B37" s="134">
        <f>SUM(B38:B41)</f>
        <v>0</v>
      </c>
      <c r="C37" s="134">
        <f t="shared" ref="C37:F37" si="1">SUM(C38:C41)</f>
        <v>0</v>
      </c>
      <c r="D37" s="134">
        <f t="shared" si="1"/>
        <v>0</v>
      </c>
      <c r="E37" s="134">
        <f t="shared" si="1"/>
        <v>0</v>
      </c>
      <c r="F37" s="134">
        <f t="shared" si="1"/>
        <v>0</v>
      </c>
      <c r="G37" s="134">
        <f>SUM(G38:G41)</f>
        <v>0</v>
      </c>
    </row>
    <row r="38" spans="1:7" x14ac:dyDescent="0.25">
      <c r="A38" s="65" t="s">
        <v>391</v>
      </c>
      <c r="B38" s="135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f>D38-E38</f>
        <v>0</v>
      </c>
    </row>
    <row r="39" spans="1:7" ht="30" x14ac:dyDescent="0.25">
      <c r="A39" s="65" t="s">
        <v>392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f t="shared" ref="G39:G41" si="2">D39-E39</f>
        <v>0</v>
      </c>
    </row>
    <row r="40" spans="1:7" x14ac:dyDescent="0.25">
      <c r="A40" s="65" t="s">
        <v>393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f t="shared" si="2"/>
        <v>0</v>
      </c>
    </row>
    <row r="41" spans="1:7" x14ac:dyDescent="0.25">
      <c r="A41" s="65" t="s">
        <v>394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f t="shared" si="2"/>
        <v>0</v>
      </c>
    </row>
    <row r="42" spans="1:7" ht="14.25" x14ac:dyDescent="0.45">
      <c r="A42" s="65"/>
      <c r="B42" s="66"/>
      <c r="C42" s="66"/>
      <c r="D42" s="66"/>
      <c r="E42" s="66"/>
      <c r="F42" s="66"/>
      <c r="G42" s="66"/>
    </row>
    <row r="43" spans="1:7" x14ac:dyDescent="0.25">
      <c r="A43" s="53" t="s">
        <v>395</v>
      </c>
      <c r="B43" s="134">
        <v>211659985</v>
      </c>
      <c r="C43" s="134">
        <v>39609341.850000001</v>
      </c>
      <c r="D43" s="134">
        <v>251269326.84999999</v>
      </c>
      <c r="E43" s="134">
        <v>53591603.780000001</v>
      </c>
      <c r="F43" s="134">
        <v>53265286.980000004</v>
      </c>
      <c r="G43" s="134">
        <v>197677723.06999999</v>
      </c>
    </row>
    <row r="44" spans="1:7" x14ac:dyDescent="0.25">
      <c r="A44" s="51" t="s">
        <v>430</v>
      </c>
      <c r="B44" s="134">
        <v>115818610.8</v>
      </c>
      <c r="C44" s="134">
        <v>2603228.96</v>
      </c>
      <c r="D44" s="134">
        <v>118421839.75999999</v>
      </c>
      <c r="E44" s="134">
        <v>23689892.670000002</v>
      </c>
      <c r="F44" s="134">
        <v>23563095.870000001</v>
      </c>
      <c r="G44" s="134">
        <v>94731947.089999989</v>
      </c>
    </row>
    <row r="45" spans="1:7" x14ac:dyDescent="0.25">
      <c r="A45" s="65" t="s">
        <v>365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</row>
    <row r="46" spans="1:7" x14ac:dyDescent="0.25">
      <c r="A46" s="65" t="s">
        <v>366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</row>
    <row r="47" spans="1:7" x14ac:dyDescent="0.25">
      <c r="A47" s="65" t="s">
        <v>367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</row>
    <row r="48" spans="1:7" x14ac:dyDescent="0.25">
      <c r="A48" s="65" t="s">
        <v>368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</row>
    <row r="49" spans="1:7" x14ac:dyDescent="0.25">
      <c r="A49" s="65" t="s">
        <v>369</v>
      </c>
      <c r="B49" s="135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</row>
    <row r="50" spans="1:7" x14ac:dyDescent="0.25">
      <c r="A50" s="65" t="s">
        <v>370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</row>
    <row r="51" spans="1:7" x14ac:dyDescent="0.25">
      <c r="A51" s="65" t="s">
        <v>371</v>
      </c>
      <c r="B51" s="135">
        <v>115818610.8</v>
      </c>
      <c r="C51" s="135">
        <v>2603228.96</v>
      </c>
      <c r="D51" s="135">
        <v>118421839.75999999</v>
      </c>
      <c r="E51" s="135">
        <v>23689892.670000002</v>
      </c>
      <c r="F51" s="135">
        <v>23563095.870000001</v>
      </c>
      <c r="G51" s="135">
        <v>94731947.089999989</v>
      </c>
    </row>
    <row r="52" spans="1:7" x14ac:dyDescent="0.25">
      <c r="A52" s="65" t="s">
        <v>372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</row>
    <row r="53" spans="1:7" x14ac:dyDescent="0.25">
      <c r="A53" s="51" t="s">
        <v>373</v>
      </c>
      <c r="B53" s="134">
        <v>95841374.200000003</v>
      </c>
      <c r="C53" s="134">
        <v>37006112.890000001</v>
      </c>
      <c r="D53" s="134">
        <v>132847487.09</v>
      </c>
      <c r="E53" s="134">
        <v>29901711.109999999</v>
      </c>
      <c r="F53" s="134">
        <v>29702191.109999999</v>
      </c>
      <c r="G53" s="134">
        <v>102945775.98</v>
      </c>
    </row>
    <row r="54" spans="1:7" x14ac:dyDescent="0.25">
      <c r="A54" s="65" t="s">
        <v>374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</row>
    <row r="55" spans="1:7" x14ac:dyDescent="0.25">
      <c r="A55" s="65" t="s">
        <v>375</v>
      </c>
      <c r="B55" s="135">
        <v>95841374.200000003</v>
      </c>
      <c r="C55" s="135">
        <v>37006112.890000001</v>
      </c>
      <c r="D55" s="135">
        <v>132847487.09</v>
      </c>
      <c r="E55" s="135">
        <v>29901711.109999999</v>
      </c>
      <c r="F55" s="135">
        <v>29702191.109999999</v>
      </c>
      <c r="G55" s="135">
        <v>102945775.98</v>
      </c>
    </row>
    <row r="56" spans="1:7" x14ac:dyDescent="0.25">
      <c r="A56" s="65" t="s">
        <v>376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</row>
    <row r="57" spans="1:7" x14ac:dyDescent="0.25">
      <c r="A57" s="46" t="s">
        <v>377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</row>
    <row r="58" spans="1:7" x14ac:dyDescent="0.25">
      <c r="A58" s="65" t="s">
        <v>378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</row>
    <row r="59" spans="1:7" x14ac:dyDescent="0.25">
      <c r="A59" s="65" t="s">
        <v>379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</row>
    <row r="60" spans="1:7" x14ac:dyDescent="0.25">
      <c r="A60" s="65" t="s">
        <v>380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</row>
    <row r="61" spans="1:7" x14ac:dyDescent="0.25">
      <c r="A61" s="51" t="s">
        <v>381</v>
      </c>
      <c r="B61" s="134">
        <v>0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</row>
    <row r="62" spans="1:7" x14ac:dyDescent="0.25">
      <c r="A62" s="65" t="s">
        <v>382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</row>
    <row r="63" spans="1:7" x14ac:dyDescent="0.25">
      <c r="A63" s="65" t="s">
        <v>383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</row>
    <row r="64" spans="1:7" x14ac:dyDescent="0.25">
      <c r="A64" s="65" t="s">
        <v>384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</row>
    <row r="65" spans="1:8" x14ac:dyDescent="0.25">
      <c r="A65" s="65" t="s">
        <v>385</v>
      </c>
      <c r="B65" s="135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</row>
    <row r="66" spans="1:8" x14ac:dyDescent="0.25">
      <c r="A66" s="65" t="s">
        <v>386</v>
      </c>
      <c r="B66" s="135">
        <v>0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</row>
    <row r="67" spans="1:8" x14ac:dyDescent="0.25">
      <c r="A67" s="65" t="s">
        <v>387</v>
      </c>
      <c r="B67" s="135">
        <v>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</row>
    <row r="68" spans="1:8" x14ac:dyDescent="0.25">
      <c r="A68" s="65" t="s">
        <v>388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</row>
    <row r="69" spans="1:8" x14ac:dyDescent="0.25">
      <c r="A69" s="65" t="s">
        <v>389</v>
      </c>
      <c r="B69" s="135">
        <v>0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</row>
    <row r="70" spans="1:8" x14ac:dyDescent="0.25">
      <c r="A70" s="65" t="s">
        <v>390</v>
      </c>
      <c r="B70" s="135">
        <v>0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</row>
    <row r="71" spans="1:8" x14ac:dyDescent="0.25">
      <c r="A71" s="62" t="s">
        <v>3291</v>
      </c>
      <c r="B71" s="134">
        <v>0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</row>
    <row r="72" spans="1:8" x14ac:dyDescent="0.25">
      <c r="A72" s="65" t="s">
        <v>391</v>
      </c>
      <c r="B72" s="135">
        <v>0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</row>
    <row r="73" spans="1:8" ht="30" x14ac:dyDescent="0.25">
      <c r="A73" s="65" t="s">
        <v>392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</row>
    <row r="74" spans="1:8" x14ac:dyDescent="0.25">
      <c r="A74" s="65" t="s">
        <v>393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</row>
    <row r="75" spans="1:8" x14ac:dyDescent="0.25">
      <c r="A75" s="65" t="s">
        <v>394</v>
      </c>
      <c r="B75" s="135">
        <v>0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</row>
    <row r="76" spans="1:8" x14ac:dyDescent="0.25">
      <c r="A76" s="52"/>
      <c r="B76" s="67"/>
      <c r="C76" s="67"/>
      <c r="D76" s="67"/>
      <c r="E76" s="67"/>
      <c r="F76" s="67"/>
      <c r="G76" s="67"/>
    </row>
    <row r="77" spans="1:8" x14ac:dyDescent="0.25">
      <c r="A77" s="53" t="s">
        <v>360</v>
      </c>
      <c r="B77" s="134">
        <f>B43+B9</f>
        <v>594106494.12</v>
      </c>
      <c r="C77" s="134">
        <f t="shared" ref="C77:F77" si="3">C43+C9</f>
        <v>115292201.01999998</v>
      </c>
      <c r="D77" s="134">
        <f t="shared" si="3"/>
        <v>709398695.13999999</v>
      </c>
      <c r="E77" s="134">
        <f t="shared" si="3"/>
        <v>153814246.33000001</v>
      </c>
      <c r="F77" s="134">
        <f t="shared" si="3"/>
        <v>149179920.06</v>
      </c>
      <c r="G77" s="134">
        <f>G43+G9</f>
        <v>555584448.80999994</v>
      </c>
    </row>
    <row r="78" spans="1:8" x14ac:dyDescent="0.25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27559055118110237" right="0.15748031496062992" top="0.74803149606299213" bottom="0.74803149606299213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382446509.12</v>
      </c>
      <c r="Q2" s="18">
        <f>'Formato 6 c)'!C9</f>
        <v>75682859.169999987</v>
      </c>
      <c r="R2" s="18">
        <f>'Formato 6 c)'!D9</f>
        <v>458129368.28999996</v>
      </c>
      <c r="S2" s="18">
        <f>'Formato 6 c)'!E9</f>
        <v>100222642.55000001</v>
      </c>
      <c r="T2" s="18">
        <f>'Formato 6 c)'!F9</f>
        <v>95914633.079999998</v>
      </c>
      <c r="U2" s="18">
        <f>'Formato 6 c)'!G9</f>
        <v>357906725.74000001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222437494.25</v>
      </c>
      <c r="Q3" s="18">
        <f>'Formato 6 c)'!C10</f>
        <v>12315008.379999999</v>
      </c>
      <c r="R3" s="18">
        <f>'Formato 6 c)'!D10</f>
        <v>234752502.63</v>
      </c>
      <c r="S3" s="18">
        <f>'Formato 6 c)'!E10</f>
        <v>55646284.730000004</v>
      </c>
      <c r="T3" s="18">
        <f>'Formato 6 c)'!F10</f>
        <v>51547838.729999997</v>
      </c>
      <c r="U3" s="18">
        <f>'Formato 6 c)'!G10</f>
        <v>179106217.90000001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2503978.13</v>
      </c>
      <c r="Q4" s="18">
        <f>'Formato 6 c)'!C11</f>
        <v>0</v>
      </c>
      <c r="R4" s="18">
        <f>'Formato 6 c)'!D11</f>
        <v>2503978.13</v>
      </c>
      <c r="S4" s="18">
        <f>'Formato 6 c)'!E11</f>
        <v>369855.94</v>
      </c>
      <c r="T4" s="18">
        <f>'Formato 6 c)'!F11</f>
        <v>369855.94</v>
      </c>
      <c r="U4" s="18">
        <f>'Formato 6 c)'!G11</f>
        <v>2134122.19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1730206.76</v>
      </c>
      <c r="Q5" s="18">
        <f>'Formato 6 c)'!C12</f>
        <v>100000</v>
      </c>
      <c r="R5" s="18">
        <f>'Formato 6 c)'!D12</f>
        <v>1830206.76</v>
      </c>
      <c r="S5" s="18">
        <f>'Formato 6 c)'!E12</f>
        <v>245666.54</v>
      </c>
      <c r="T5" s="18">
        <f>'Formato 6 c)'!F12</f>
        <v>245666.54</v>
      </c>
      <c r="U5" s="18">
        <f>'Formato 6 c)'!G12</f>
        <v>1584540.22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57823371.880000003</v>
      </c>
      <c r="Q6" s="18">
        <f>'Formato 6 c)'!C13</f>
        <v>1464903.4</v>
      </c>
      <c r="R6" s="18">
        <f>'Formato 6 c)'!D13</f>
        <v>59288275.280000001</v>
      </c>
      <c r="S6" s="18">
        <f>'Formato 6 c)'!E13</f>
        <v>11907671.810000001</v>
      </c>
      <c r="T6" s="18">
        <f>'Formato 6 c)'!F13</f>
        <v>11698837.74</v>
      </c>
      <c r="U6" s="18">
        <f>'Formato 6 c)'!G13</f>
        <v>47380603.469999999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88569635.269999996</v>
      </c>
      <c r="Q8" s="18">
        <f>'Formato 6 c)'!C15</f>
        <v>6671371.3200000003</v>
      </c>
      <c r="R8" s="18">
        <f>'Formato 6 c)'!D15</f>
        <v>95241006.590000004</v>
      </c>
      <c r="S8" s="18">
        <f>'Formato 6 c)'!E15</f>
        <v>21838130.949999999</v>
      </c>
      <c r="T8" s="18">
        <f>'Formato 6 c)'!F15</f>
        <v>21456053.539999999</v>
      </c>
      <c r="U8" s="18">
        <f>'Formato 6 c)'!G15</f>
        <v>73402875.640000001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6935000</v>
      </c>
      <c r="Q10" s="18">
        <f>'Formato 6 c)'!C17</f>
        <v>803989.28</v>
      </c>
      <c r="R10" s="18">
        <f>'Formato 6 c)'!D17</f>
        <v>7738989.2800000003</v>
      </c>
      <c r="S10" s="18">
        <f>'Formato 6 c)'!E17</f>
        <v>666127.03</v>
      </c>
      <c r="T10" s="18">
        <f>'Formato 6 c)'!F17</f>
        <v>620129.18000000005</v>
      </c>
      <c r="U10" s="18">
        <f>'Formato 6 c)'!G17</f>
        <v>7072862.25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64875302.210000001</v>
      </c>
      <c r="Q11" s="18">
        <f>'Formato 6 c)'!C18</f>
        <v>3274744.38</v>
      </c>
      <c r="R11" s="18">
        <f>'Formato 6 c)'!D18</f>
        <v>68150046.590000004</v>
      </c>
      <c r="S11" s="18">
        <f>'Formato 6 c)'!E18</f>
        <v>20618832.460000001</v>
      </c>
      <c r="T11" s="18">
        <f>'Formato 6 c)'!F18</f>
        <v>17157295.789999999</v>
      </c>
      <c r="U11" s="18">
        <f>'Formato 6 c)'!G18</f>
        <v>47531214.130000003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109998826.65000001</v>
      </c>
      <c r="Q12" s="18">
        <f>'Formato 6 c)'!C19</f>
        <v>19775593.989999998</v>
      </c>
      <c r="R12" s="18">
        <f>'Formato 6 c)'!D19</f>
        <v>129774420.64</v>
      </c>
      <c r="S12" s="18">
        <f>'Formato 6 c)'!E19</f>
        <v>18049710.289999999</v>
      </c>
      <c r="T12" s="18">
        <f>'Formato 6 c)'!F19</f>
        <v>17858678.539999999</v>
      </c>
      <c r="U12" s="18">
        <f>'Formato 6 c)'!G19</f>
        <v>111724710.34999999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2357922.7599999998</v>
      </c>
      <c r="Q13" s="18">
        <f>'Formato 6 c)'!C20</f>
        <v>15000</v>
      </c>
      <c r="R13" s="18">
        <f>'Formato 6 c)'!D20</f>
        <v>2372922.7599999998</v>
      </c>
      <c r="S13" s="18">
        <f>'Formato 6 c)'!E20</f>
        <v>361960.29</v>
      </c>
      <c r="T13" s="18">
        <f>'Formato 6 c)'!F20</f>
        <v>361960.29</v>
      </c>
      <c r="U13" s="18">
        <f>'Formato 6 c)'!G20</f>
        <v>2010962.4699999997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93742037.569999993</v>
      </c>
      <c r="Q14" s="18">
        <f>'Formato 6 c)'!C21</f>
        <v>18604257.75</v>
      </c>
      <c r="R14" s="18">
        <f>'Formato 6 c)'!D21</f>
        <v>112346295.31999999</v>
      </c>
      <c r="S14" s="18">
        <f>'Formato 6 c)'!E21</f>
        <v>14852612.619999999</v>
      </c>
      <c r="T14" s="18">
        <f>'Formato 6 c)'!F21</f>
        <v>14714705.029999999</v>
      </c>
      <c r="U14" s="18">
        <f>'Formato 6 c)'!G21</f>
        <v>97493682.699999988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5011383.82</v>
      </c>
      <c r="Q16" s="18">
        <f>'Formato 6 c)'!C23</f>
        <v>542888.88</v>
      </c>
      <c r="R16" s="18">
        <f>'Formato 6 c)'!D23</f>
        <v>5554272.7000000002</v>
      </c>
      <c r="S16" s="18">
        <f>'Formato 6 c)'!E23</f>
        <v>1064800.17</v>
      </c>
      <c r="T16" s="18">
        <f>'Formato 6 c)'!F23</f>
        <v>1047745.27</v>
      </c>
      <c r="U16" s="18">
        <f>'Formato 6 c)'!G23</f>
        <v>4489472.53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6348654.8099999996</v>
      </c>
      <c r="Q17" s="18">
        <f>'Formato 6 c)'!C24</f>
        <v>300000</v>
      </c>
      <c r="R17" s="18">
        <f>'Formato 6 c)'!D24</f>
        <v>6648654.8099999996</v>
      </c>
      <c r="S17" s="18">
        <f>'Formato 6 c)'!E24</f>
        <v>1174607.3400000001</v>
      </c>
      <c r="T17" s="18">
        <f>'Formato 6 c)'!F24</f>
        <v>1174607.3400000001</v>
      </c>
      <c r="U17" s="18">
        <f>'Formato 6 c)'!G24</f>
        <v>5474047.4699999997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2538827.69</v>
      </c>
      <c r="Q19" s="18">
        <f>'Formato 6 c)'!C26</f>
        <v>313447.36</v>
      </c>
      <c r="R19" s="18">
        <f>'Formato 6 c)'!D26</f>
        <v>2852275.05</v>
      </c>
      <c r="S19" s="18">
        <f>'Formato 6 c)'!E26</f>
        <v>595729.87</v>
      </c>
      <c r="T19" s="18">
        <f>'Formato 6 c)'!F26</f>
        <v>559660.61</v>
      </c>
      <c r="U19" s="18">
        <f>'Formato 6 c)'!G26</f>
        <v>2256545.1799999997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50010188.219999999</v>
      </c>
      <c r="Q20" s="18">
        <f>'Formato 6 c)'!C27</f>
        <v>43592256.799999997</v>
      </c>
      <c r="R20" s="18">
        <f>'Formato 6 c)'!D27</f>
        <v>93602445.019999996</v>
      </c>
      <c r="S20" s="18">
        <f>'Formato 6 c)'!E27</f>
        <v>26526647.530000001</v>
      </c>
      <c r="T20" s="18">
        <f>'Formato 6 c)'!F27</f>
        <v>26508115.809999999</v>
      </c>
      <c r="U20" s="18">
        <f>'Formato 6 c)'!G27</f>
        <v>67075797.489999995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50010188.219999999</v>
      </c>
      <c r="Q21" s="18">
        <f>'Formato 6 c)'!C28</f>
        <v>43592256.799999997</v>
      </c>
      <c r="R21" s="18">
        <f>'Formato 6 c)'!D28</f>
        <v>93602445.019999996</v>
      </c>
      <c r="S21" s="18">
        <f>'Formato 6 c)'!E28</f>
        <v>26526647.530000001</v>
      </c>
      <c r="T21" s="18">
        <f>'Formato 6 c)'!F28</f>
        <v>26508115.809999999</v>
      </c>
      <c r="U21" s="18">
        <f>'Formato 6 c)'!G28</f>
        <v>67075797.489999995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211659985</v>
      </c>
      <c r="Q35" s="18">
        <f>'Formato 6 c)'!C43</f>
        <v>39609341.850000001</v>
      </c>
      <c r="R35" s="18">
        <f>'Formato 6 c)'!D43</f>
        <v>251269326.84999999</v>
      </c>
      <c r="S35" s="18">
        <f>'Formato 6 c)'!E43</f>
        <v>53591603.780000001</v>
      </c>
      <c r="T35" s="18">
        <f>'Formato 6 c)'!F43</f>
        <v>53265286.980000004</v>
      </c>
      <c r="U35" s="18">
        <f>'Formato 6 c)'!G43</f>
        <v>197677723.06999999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115818610.8</v>
      </c>
      <c r="Q36" s="18">
        <f>'Formato 6 c)'!C44</f>
        <v>2603228.96</v>
      </c>
      <c r="R36" s="18">
        <f>'Formato 6 c)'!D44</f>
        <v>118421839.75999999</v>
      </c>
      <c r="S36" s="18">
        <f>'Formato 6 c)'!E44</f>
        <v>23689892.670000002</v>
      </c>
      <c r="T36" s="18">
        <f>'Formato 6 c)'!F44</f>
        <v>23563095.870000001</v>
      </c>
      <c r="U36" s="18">
        <f>'Formato 6 c)'!G44</f>
        <v>94731947.089999989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115818610.8</v>
      </c>
      <c r="Q43" s="18">
        <f>'Formato 6 c)'!C51</f>
        <v>2603228.96</v>
      </c>
      <c r="R43" s="18">
        <f>'Formato 6 c)'!D51</f>
        <v>118421839.75999999</v>
      </c>
      <c r="S43" s="18">
        <f>'Formato 6 c)'!E51</f>
        <v>23689892.670000002</v>
      </c>
      <c r="T43" s="18">
        <f>'Formato 6 c)'!F51</f>
        <v>23563095.870000001</v>
      </c>
      <c r="U43" s="18">
        <f>'Formato 6 c)'!G51</f>
        <v>94731947.089999989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95841374.200000003</v>
      </c>
      <c r="Q45" s="18">
        <f>'Formato 6 c)'!C53</f>
        <v>37006112.890000001</v>
      </c>
      <c r="R45" s="18">
        <f>'Formato 6 c)'!D53</f>
        <v>132847487.09</v>
      </c>
      <c r="S45" s="18">
        <f>'Formato 6 c)'!E53</f>
        <v>29901711.109999999</v>
      </c>
      <c r="T45" s="18">
        <f>'Formato 6 c)'!F53</f>
        <v>29702191.109999999</v>
      </c>
      <c r="U45" s="18">
        <f>'Formato 6 c)'!G53</f>
        <v>102945775.98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95841374.200000003</v>
      </c>
      <c r="Q47" s="18">
        <f>'Formato 6 c)'!C55</f>
        <v>37006112.890000001</v>
      </c>
      <c r="R47" s="18">
        <f>'Formato 6 c)'!D55</f>
        <v>132847487.09</v>
      </c>
      <c r="S47" s="18">
        <f>'Formato 6 c)'!E55</f>
        <v>29901711.109999999</v>
      </c>
      <c r="T47" s="18">
        <f>'Formato 6 c)'!F55</f>
        <v>29702191.109999999</v>
      </c>
      <c r="U47" s="18">
        <f>'Formato 6 c)'!G55</f>
        <v>102945775.98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594106494.12</v>
      </c>
      <c r="Q68" s="18">
        <f>'Formato 6 c)'!C77</f>
        <v>115292201.01999998</v>
      </c>
      <c r="R68" s="18">
        <f>'Formato 6 c)'!D77</f>
        <v>709398695.13999999</v>
      </c>
      <c r="S68" s="18">
        <f>'Formato 6 c)'!E77</f>
        <v>153814246.33000001</v>
      </c>
      <c r="T68" s="18">
        <f>'Formato 6 c)'!F77</f>
        <v>149179920.06</v>
      </c>
      <c r="U68" s="18">
        <f>'Formato 6 c)'!G77</f>
        <v>555584448.80999994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SILAO DE LA VICTORIA, Gobierno del Estado de Guanajuato</v>
      </c>
    </row>
    <row r="7" spans="2:3" ht="14.25" x14ac:dyDescent="0.45">
      <c r="C7" t="str">
        <f>CONCATENATE(ENTE_PUBLICO," (a)")</f>
        <v>MUNICIPIO DE SILAO DE LA VICTORIA, Gobierno del Estado de Guanajuato (a)</v>
      </c>
    </row>
    <row r="8" spans="2:3" ht="27" customHeight="1" x14ac:dyDescent="0.45">
      <c r="B8" t="s">
        <v>787</v>
      </c>
      <c r="C8" s="23" t="s">
        <v>799</v>
      </c>
    </row>
    <row r="10" spans="2:3" ht="25.5" customHeight="1" x14ac:dyDescent="0.45">
      <c r="B10" t="s">
        <v>788</v>
      </c>
      <c r="C10" s="23" t="s">
        <v>1156</v>
      </c>
    </row>
    <row r="11" spans="2:3" ht="20.25" customHeight="1" x14ac:dyDescent="0.45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Silao, Gobierno del Estado de Guanajuato</v>
      </c>
    </row>
    <row r="12" spans="2:3" x14ac:dyDescent="0.25">
      <c r="B12" t="s">
        <v>786</v>
      </c>
      <c r="C12" s="23">
        <v>2020</v>
      </c>
    </row>
    <row r="14" spans="2:3" ht="14.25" x14ac:dyDescent="0.45">
      <c r="B14" t="s">
        <v>785</v>
      </c>
      <c r="C14" s="23" t="s">
        <v>3295</v>
      </c>
    </row>
    <row r="15" spans="2:3" ht="14.25" x14ac:dyDescent="0.45">
      <c r="C15" s="23">
        <v>1</v>
      </c>
    </row>
    <row r="16" spans="2:3" ht="14.25" x14ac:dyDescent="0.45">
      <c r="C16" s="23" t="s">
        <v>3296</v>
      </c>
    </row>
    <row r="18" spans="4:9" ht="135" x14ac:dyDescent="0.2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0" t="str">
        <f>CONCATENATE("Saldo al 31 de diciembre de ",ANIO_INFORME-1, " (d)")</f>
        <v>Saldo al 31 de diciembre de 2019 (d)</v>
      </c>
    </row>
    <row r="23" spans="4:9" ht="14.25" x14ac:dyDescent="0.45">
      <c r="D23" s="32">
        <f>ANIO_INFORME + 1</f>
        <v>2021</v>
      </c>
      <c r="E23" s="33" t="str">
        <f>CONCATENATE(ANIO_INFORME + 2, " (d)")</f>
        <v>2022 (d)</v>
      </c>
      <c r="F23" s="33" t="str">
        <f>CONCATENATE(ANIO_INFORME + 3, " (d)")</f>
        <v>2023 (d)</v>
      </c>
      <c r="G23" s="33" t="str">
        <f>CONCATENATE(ANIO_INFORME + 4, " (d)")</f>
        <v>2024 (d)</v>
      </c>
      <c r="H23" s="33" t="str">
        <f>CONCATENATE(ANIO_INFORME + 5, " (d)")</f>
        <v>2025 (d)</v>
      </c>
      <c r="I23" s="33" t="str">
        <f>CONCATENATE(ANIO_INFORME + 6, " (d)")</f>
        <v>2026 (d)</v>
      </c>
    </row>
    <row r="25" spans="4:9" x14ac:dyDescent="0.25">
      <c r="D25" s="34" t="str">
        <f>CONCATENATE(ANIO_INFORME - 5, " ",CHAR(185)," (c)")</f>
        <v>2015 ¹ (c)</v>
      </c>
      <c r="E25" s="34" t="str">
        <f>CONCATENATE(ANIO_INFORME - 4, " ",CHAR(185)," (c)")</f>
        <v>2016 ¹ (c)</v>
      </c>
      <c r="F25" s="34" t="str">
        <f>CONCATENATE(ANIO_INFORME - 3, " ",CHAR(185)," (c)")</f>
        <v>2017 ¹ (c)</v>
      </c>
      <c r="G25" s="34" t="str">
        <f>CONCATENATE(ANIO_INFORME - 2, " ",CHAR(185)," (c)")</f>
        <v>2018 ¹ (c)</v>
      </c>
      <c r="H25" s="34" t="str">
        <f>CONCATENATE(ANIO_INFORME - 1, " ",CHAR(185)," (c)")</f>
        <v>2019 ¹ (c)</v>
      </c>
      <c r="I25" s="32">
        <f>ANIO_INFORME</f>
        <v>2020</v>
      </c>
    </row>
    <row r="26" spans="4:9" ht="14.25" x14ac:dyDescent="0.45">
      <c r="D26" s="81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6">
        <v>-1.7976931348623099E+100</v>
      </c>
      <c r="E30" s="126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7">
        <v>36526</v>
      </c>
      <c r="E33" s="127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F31" sqref="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1" t="s">
        <v>3279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4"/>
    </row>
    <row r="3" spans="1:7" x14ac:dyDescent="0.25">
      <c r="A3" s="148" t="s">
        <v>277</v>
      </c>
      <c r="B3" s="149"/>
      <c r="C3" s="149"/>
      <c r="D3" s="149"/>
      <c r="E3" s="149"/>
      <c r="F3" s="149"/>
      <c r="G3" s="150"/>
    </row>
    <row r="4" spans="1:7" x14ac:dyDescent="0.25">
      <c r="A4" s="148" t="s">
        <v>399</v>
      </c>
      <c r="B4" s="149"/>
      <c r="C4" s="149"/>
      <c r="D4" s="149"/>
      <c r="E4" s="149"/>
      <c r="F4" s="149"/>
      <c r="G4" s="150"/>
    </row>
    <row r="5" spans="1:7" ht="14.25" x14ac:dyDescent="0.45">
      <c r="A5" s="148" t="str">
        <f>TRIMESTRE</f>
        <v>Del 1 de enero al 30 de marzo de 2020 (b)</v>
      </c>
      <c r="B5" s="149"/>
      <c r="C5" s="149"/>
      <c r="D5" s="149"/>
      <c r="E5" s="149"/>
      <c r="F5" s="149"/>
      <c r="G5" s="150"/>
    </row>
    <row r="6" spans="1:7" ht="14.25" x14ac:dyDescent="0.45">
      <c r="A6" s="151" t="s">
        <v>118</v>
      </c>
      <c r="B6" s="152"/>
      <c r="C6" s="152"/>
      <c r="D6" s="152"/>
      <c r="E6" s="152"/>
      <c r="F6" s="152"/>
      <c r="G6" s="153"/>
    </row>
    <row r="7" spans="1:7" x14ac:dyDescent="0.25">
      <c r="A7" s="157" t="s">
        <v>361</v>
      </c>
      <c r="B7" s="162" t="s">
        <v>279</v>
      </c>
      <c r="C7" s="162"/>
      <c r="D7" s="162"/>
      <c r="E7" s="162"/>
      <c r="F7" s="162"/>
      <c r="G7" s="162" t="s">
        <v>280</v>
      </c>
    </row>
    <row r="8" spans="1:7" ht="29.25" customHeight="1" x14ac:dyDescent="0.25">
      <c r="A8" s="158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169"/>
    </row>
    <row r="9" spans="1:7" x14ac:dyDescent="0.25">
      <c r="A9" s="50" t="s">
        <v>400</v>
      </c>
      <c r="B9" s="134">
        <f>SUM(B10,B11,B12,B15,B16,B19)</f>
        <v>150050373.59999999</v>
      </c>
      <c r="C9" s="134">
        <f t="shared" ref="C9:F9" si="0">SUM(C10,C11,C12,C15,C16,C19)</f>
        <v>46305644.979999997</v>
      </c>
      <c r="D9" s="134">
        <f t="shared" si="0"/>
        <v>196356018.57999998</v>
      </c>
      <c r="E9" s="134">
        <f t="shared" si="0"/>
        <v>44104019.049999997</v>
      </c>
      <c r="F9" s="134">
        <f t="shared" si="0"/>
        <v>44104018.049999997</v>
      </c>
      <c r="G9" s="134">
        <f>SUM(G10,G11,G12,G15,G16,G19)</f>
        <v>152251999.52999997</v>
      </c>
    </row>
    <row r="10" spans="1:7" x14ac:dyDescent="0.25">
      <c r="A10" s="51" t="s">
        <v>401</v>
      </c>
      <c r="B10" s="135">
        <v>150050373.59999999</v>
      </c>
      <c r="C10" s="135">
        <v>46305644.979999997</v>
      </c>
      <c r="D10" s="135">
        <v>196356018.57999998</v>
      </c>
      <c r="E10" s="135">
        <v>44104018.049999997</v>
      </c>
      <c r="F10" s="135">
        <v>44104018.049999997</v>
      </c>
      <c r="G10" s="137">
        <v>152252000.52999997</v>
      </c>
    </row>
    <row r="11" spans="1:7" x14ac:dyDescent="0.25">
      <c r="A11" s="51" t="s">
        <v>402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f>D11-E11</f>
        <v>0</v>
      </c>
    </row>
    <row r="12" spans="1:7" x14ac:dyDescent="0.25">
      <c r="A12" s="51" t="s">
        <v>403</v>
      </c>
      <c r="B12" s="135">
        <f>B13+B14</f>
        <v>0</v>
      </c>
      <c r="C12" s="135">
        <f t="shared" ref="C12:F12" si="1">C13+C14</f>
        <v>0</v>
      </c>
      <c r="D12" s="135">
        <f t="shared" si="1"/>
        <v>0</v>
      </c>
      <c r="E12" s="135">
        <f t="shared" si="1"/>
        <v>0</v>
      </c>
      <c r="F12" s="135">
        <f t="shared" si="1"/>
        <v>0</v>
      </c>
      <c r="G12" s="135">
        <f>G13+G14</f>
        <v>0</v>
      </c>
    </row>
    <row r="13" spans="1:7" x14ac:dyDescent="0.25">
      <c r="A13" s="61" t="s">
        <v>404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f>D13-E13</f>
        <v>0</v>
      </c>
    </row>
    <row r="14" spans="1:7" x14ac:dyDescent="0.25">
      <c r="A14" s="61" t="s">
        <v>405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f t="shared" ref="G14:G15" si="2">D14-E14</f>
        <v>0</v>
      </c>
    </row>
    <row r="15" spans="1:7" x14ac:dyDescent="0.25">
      <c r="A15" s="51" t="s">
        <v>406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f t="shared" si="2"/>
        <v>0</v>
      </c>
    </row>
    <row r="16" spans="1:7" x14ac:dyDescent="0.25">
      <c r="A16" s="62" t="s">
        <v>407</v>
      </c>
      <c r="B16" s="135">
        <f>B17+B18</f>
        <v>0</v>
      </c>
      <c r="C16" s="135">
        <f t="shared" ref="C16:G16" si="3">C17+C18</f>
        <v>0</v>
      </c>
      <c r="D16" s="135">
        <f t="shared" si="3"/>
        <v>0</v>
      </c>
      <c r="E16" s="135">
        <f t="shared" si="3"/>
        <v>0</v>
      </c>
      <c r="F16" s="135">
        <f t="shared" si="3"/>
        <v>0</v>
      </c>
      <c r="G16" s="135">
        <f t="shared" si="3"/>
        <v>0</v>
      </c>
    </row>
    <row r="17" spans="1:7" x14ac:dyDescent="0.25">
      <c r="A17" s="61" t="s">
        <v>408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f>D17-E17</f>
        <v>0</v>
      </c>
    </row>
    <row r="18" spans="1:7" x14ac:dyDescent="0.25">
      <c r="A18" s="61" t="s">
        <v>409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f>D18-E18</f>
        <v>0</v>
      </c>
    </row>
    <row r="19" spans="1:7" x14ac:dyDescent="0.25">
      <c r="A19" s="51" t="s">
        <v>410</v>
      </c>
      <c r="B19" s="135">
        <v>0</v>
      </c>
      <c r="C19" s="135">
        <v>0</v>
      </c>
      <c r="D19" s="135">
        <v>0</v>
      </c>
      <c r="E19" s="135">
        <v>1</v>
      </c>
      <c r="F19" s="135">
        <v>0</v>
      </c>
      <c r="G19" s="135">
        <f>D19-E19</f>
        <v>-1</v>
      </c>
    </row>
    <row r="20" spans="1:7" ht="14.25" x14ac:dyDescent="0.45">
      <c r="A20" s="52"/>
      <c r="B20" s="64"/>
      <c r="C20" s="64"/>
      <c r="D20" s="64"/>
      <c r="E20" s="64"/>
      <c r="F20" s="64"/>
      <c r="G20" s="64"/>
    </row>
    <row r="21" spans="1:7" s="23" customFormat="1" x14ac:dyDescent="0.25">
      <c r="A21" s="14" t="s">
        <v>411</v>
      </c>
      <c r="B21" s="134">
        <f>SUM(B22,B23,B24,B27,B28,B31)</f>
        <v>102214217.8</v>
      </c>
      <c r="C21" s="134">
        <f t="shared" ref="C21:F21" si="4">SUM(C22,C23,C24,C27,C28,C31)</f>
        <v>2452228.96</v>
      </c>
      <c r="D21" s="134">
        <f t="shared" si="4"/>
        <v>104666446.75999999</v>
      </c>
      <c r="E21" s="134">
        <f t="shared" si="4"/>
        <v>19491965.579999998</v>
      </c>
      <c r="F21" s="134">
        <f t="shared" si="4"/>
        <v>19491965.579999998</v>
      </c>
      <c r="G21" s="134">
        <f>SUM(G22,G23,G24,G27,G28,G31)</f>
        <v>85174481.179999992</v>
      </c>
    </row>
    <row r="22" spans="1:7" s="23" customFormat="1" x14ac:dyDescent="0.25">
      <c r="A22" s="51" t="s">
        <v>401</v>
      </c>
      <c r="B22" s="135">
        <v>102214217.8</v>
      </c>
      <c r="C22" s="135">
        <v>2452228.96</v>
      </c>
      <c r="D22" s="135">
        <v>104666446.75999999</v>
      </c>
      <c r="E22" s="135">
        <v>19491965.579999998</v>
      </c>
      <c r="F22" s="135">
        <v>19491965.579999998</v>
      </c>
      <c r="G22" s="137">
        <v>85174481.179999992</v>
      </c>
    </row>
    <row r="23" spans="1:7" s="23" customFormat="1" x14ac:dyDescent="0.25">
      <c r="A23" s="51" t="s">
        <v>402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f>D23-E23</f>
        <v>0</v>
      </c>
    </row>
    <row r="24" spans="1:7" s="23" customFormat="1" x14ac:dyDescent="0.25">
      <c r="A24" s="51" t="s">
        <v>403</v>
      </c>
      <c r="B24" s="135">
        <f>B25+B26</f>
        <v>0</v>
      </c>
      <c r="C24" s="135">
        <f t="shared" ref="C24:G24" si="5">C25+C26</f>
        <v>0</v>
      </c>
      <c r="D24" s="135">
        <f t="shared" si="5"/>
        <v>0</v>
      </c>
      <c r="E24" s="135">
        <f t="shared" si="5"/>
        <v>0</v>
      </c>
      <c r="F24" s="135">
        <f t="shared" si="5"/>
        <v>0</v>
      </c>
      <c r="G24" s="135">
        <f t="shared" si="5"/>
        <v>0</v>
      </c>
    </row>
    <row r="25" spans="1:7" s="23" customFormat="1" x14ac:dyDescent="0.25">
      <c r="A25" s="61" t="s">
        <v>404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f>D25-E25</f>
        <v>0</v>
      </c>
    </row>
    <row r="26" spans="1:7" s="23" customFormat="1" x14ac:dyDescent="0.25">
      <c r="A26" s="61" t="s">
        <v>405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f t="shared" ref="G26:G27" si="6">D26-E26</f>
        <v>0</v>
      </c>
    </row>
    <row r="27" spans="1:7" s="23" customFormat="1" x14ac:dyDescent="0.25">
      <c r="A27" s="51" t="s">
        <v>406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f t="shared" si="6"/>
        <v>0</v>
      </c>
    </row>
    <row r="28" spans="1:7" s="23" customFormat="1" x14ac:dyDescent="0.25">
      <c r="A28" s="62" t="s">
        <v>407</v>
      </c>
      <c r="B28" s="135">
        <f>B29+B30</f>
        <v>0</v>
      </c>
      <c r="C28" s="135">
        <f t="shared" ref="C28:G28" si="7">C29+C30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  <c r="G28" s="135">
        <f t="shared" si="7"/>
        <v>0</v>
      </c>
    </row>
    <row r="29" spans="1:7" s="23" customFormat="1" x14ac:dyDescent="0.25">
      <c r="A29" s="61" t="s">
        <v>408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f>D29-E29</f>
        <v>0</v>
      </c>
    </row>
    <row r="30" spans="1:7" s="23" customFormat="1" x14ac:dyDescent="0.25">
      <c r="A30" s="61" t="s">
        <v>409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f t="shared" ref="G30:G31" si="8">D30-E30</f>
        <v>0</v>
      </c>
    </row>
    <row r="31" spans="1:7" s="23" customFormat="1" x14ac:dyDescent="0.25">
      <c r="A31" s="51" t="s">
        <v>410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f t="shared" si="8"/>
        <v>0</v>
      </c>
    </row>
    <row r="32" spans="1:7" ht="14.25" x14ac:dyDescent="0.45">
      <c r="A32" s="52"/>
      <c r="B32" s="64"/>
      <c r="C32" s="64"/>
      <c r="D32" s="64"/>
      <c r="E32" s="64"/>
      <c r="F32" s="64"/>
      <c r="G32" s="64"/>
    </row>
    <row r="33" spans="1:7" x14ac:dyDescent="0.25">
      <c r="A33" s="53" t="s">
        <v>412</v>
      </c>
      <c r="B33" s="134">
        <f>B21+B9</f>
        <v>252264591.39999998</v>
      </c>
      <c r="C33" s="134">
        <f t="shared" ref="C33:G33" si="9">C21+C9</f>
        <v>48757873.939999998</v>
      </c>
      <c r="D33" s="134">
        <f t="shared" si="9"/>
        <v>301022465.33999997</v>
      </c>
      <c r="E33" s="134">
        <f t="shared" si="9"/>
        <v>63595984.629999995</v>
      </c>
      <c r="F33" s="134">
        <f t="shared" si="9"/>
        <v>63595983.629999995</v>
      </c>
      <c r="G33" s="134">
        <f t="shared" si="9"/>
        <v>237426480.70999998</v>
      </c>
    </row>
    <row r="34" spans="1:7" ht="14.25" x14ac:dyDescent="0.45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19685039370078741" right="0.19685039370078741" top="0.74803149606299213" bottom="0.74803149606299213" header="0.31496062992125984" footer="0.31496062992125984"/>
  <pageSetup paperSize="41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150050373.59999999</v>
      </c>
      <c r="Q2" s="18">
        <f>'Formato 6 d)'!C9</f>
        <v>46305644.979999997</v>
      </c>
      <c r="R2" s="18">
        <f>'Formato 6 d)'!D9</f>
        <v>196356018.57999998</v>
      </c>
      <c r="S2" s="18">
        <f>'Formato 6 d)'!E9</f>
        <v>44104019.049999997</v>
      </c>
      <c r="T2" s="18">
        <f>'Formato 6 d)'!F9</f>
        <v>44104018.049999997</v>
      </c>
      <c r="U2" s="18">
        <f>'Formato 6 d)'!G9</f>
        <v>152251999.52999997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150050373.59999999</v>
      </c>
      <c r="Q3" s="18">
        <f>'Formato 6 d)'!C10</f>
        <v>46305644.979999997</v>
      </c>
      <c r="R3" s="18">
        <f>'Formato 6 d)'!D10</f>
        <v>196356018.57999998</v>
      </c>
      <c r="S3" s="18">
        <f>'Formato 6 d)'!E10</f>
        <v>44104018.049999997</v>
      </c>
      <c r="T3" s="18">
        <f>'Formato 6 d)'!F10</f>
        <v>44104018.049999997</v>
      </c>
      <c r="U3" s="18">
        <f>'Formato 6 d)'!G10</f>
        <v>152252000.52999997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1</v>
      </c>
      <c r="T12" s="18">
        <f>'Formato 6 d)'!F19</f>
        <v>0</v>
      </c>
      <c r="U12" s="18">
        <f>'Formato 6 d)'!G19</f>
        <v>-1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102214217.8</v>
      </c>
      <c r="Q13" s="18">
        <f>'Formato 6 d)'!C21</f>
        <v>2452228.96</v>
      </c>
      <c r="R13" s="18">
        <f>'Formato 6 d)'!D21</f>
        <v>104666446.75999999</v>
      </c>
      <c r="S13" s="18">
        <f>'Formato 6 d)'!E21</f>
        <v>19491965.579999998</v>
      </c>
      <c r="T13" s="18">
        <f>'Formato 6 d)'!F21</f>
        <v>19491965.579999998</v>
      </c>
      <c r="U13" s="18">
        <f>'Formato 6 d)'!G21</f>
        <v>85174481.179999992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102214217.8</v>
      </c>
      <c r="Q14" s="18">
        <f>'Formato 6 d)'!C22</f>
        <v>2452228.96</v>
      </c>
      <c r="R14" s="18">
        <f>'Formato 6 d)'!D22</f>
        <v>104666446.75999999</v>
      </c>
      <c r="S14" s="18">
        <f>'Formato 6 d)'!E22</f>
        <v>19491965.579999998</v>
      </c>
      <c r="T14" s="18">
        <f>'Formato 6 d)'!F22</f>
        <v>19491965.579999998</v>
      </c>
      <c r="U14" s="18">
        <f>'Formato 6 d)'!G22</f>
        <v>85174481.179999992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252264591.39999998</v>
      </c>
      <c r="Q24" s="18">
        <f>'Formato 6 d)'!C33</f>
        <v>48757873.939999998</v>
      </c>
      <c r="R24" s="18">
        <f>'Formato 6 d)'!D33</f>
        <v>301022465.33999997</v>
      </c>
      <c r="S24" s="18">
        <f>'Formato 6 d)'!E33</f>
        <v>63595984.629999995</v>
      </c>
      <c r="T24" s="18">
        <f>'Formato 6 d)'!F33</f>
        <v>63595983.629999995</v>
      </c>
      <c r="U24" s="18">
        <f>'Formato 6 d)'!G33</f>
        <v>237426480.70999998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0" t="s">
        <v>413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414</v>
      </c>
      <c r="B3" s="146"/>
      <c r="C3" s="146"/>
      <c r="D3" s="146"/>
      <c r="E3" s="146"/>
      <c r="F3" s="146"/>
      <c r="G3" s="147"/>
    </row>
    <row r="4" spans="1:7" ht="14.25" x14ac:dyDescent="0.45">
      <c r="A4" s="145" t="s">
        <v>118</v>
      </c>
      <c r="B4" s="146"/>
      <c r="C4" s="146"/>
      <c r="D4" s="146"/>
      <c r="E4" s="146"/>
      <c r="F4" s="146"/>
      <c r="G4" s="147"/>
    </row>
    <row r="5" spans="1:7" ht="14.25" x14ac:dyDescent="0.45">
      <c r="A5" s="145" t="s">
        <v>415</v>
      </c>
      <c r="B5" s="146"/>
      <c r="C5" s="146"/>
      <c r="D5" s="146"/>
      <c r="E5" s="146"/>
      <c r="F5" s="146"/>
      <c r="G5" s="147"/>
    </row>
    <row r="6" spans="1:7" x14ac:dyDescent="0.25">
      <c r="A6" s="157" t="s">
        <v>3280</v>
      </c>
      <c r="B6" s="49">
        <f>ANIO1P</f>
        <v>2021</v>
      </c>
      <c r="C6" s="170" t="str">
        <f>ANIO2P</f>
        <v>2022 (d)</v>
      </c>
      <c r="D6" s="170" t="str">
        <f>ANIO3P</f>
        <v>2023 (d)</v>
      </c>
      <c r="E6" s="170" t="str">
        <f>ANIO4P</f>
        <v>2024 (d)</v>
      </c>
      <c r="F6" s="170" t="str">
        <f>ANIO5P</f>
        <v>2025 (d)</v>
      </c>
      <c r="G6" s="170" t="str">
        <f>ANIO6P</f>
        <v>2026 (d)</v>
      </c>
    </row>
    <row r="7" spans="1:7" ht="48" customHeight="1" x14ac:dyDescent="0.25">
      <c r="A7" s="158"/>
      <c r="B7" s="77" t="s">
        <v>3283</v>
      </c>
      <c r="C7" s="171"/>
      <c r="D7" s="171"/>
      <c r="E7" s="171"/>
      <c r="F7" s="171"/>
      <c r="G7" s="171"/>
    </row>
    <row r="8" spans="1:7" x14ac:dyDescent="0.25">
      <c r="A8" s="50" t="s">
        <v>421</v>
      </c>
      <c r="B8" s="57">
        <f>SUM(B9:B20)</f>
        <v>12</v>
      </c>
      <c r="C8" s="57">
        <f t="shared" ref="C8:G8" si="0">SUM(C9:C20)</f>
        <v>18</v>
      </c>
      <c r="D8" s="57">
        <f t="shared" si="0"/>
        <v>24</v>
      </c>
      <c r="E8" s="57">
        <f t="shared" si="0"/>
        <v>30</v>
      </c>
      <c r="F8" s="57">
        <f t="shared" si="0"/>
        <v>36</v>
      </c>
      <c r="G8" s="57">
        <f t="shared" si="0"/>
        <v>42</v>
      </c>
    </row>
    <row r="9" spans="1:7" ht="14.25" x14ac:dyDescent="0.45">
      <c r="A9" s="51" t="s">
        <v>216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ht="14.25" x14ac:dyDescent="0.45">
      <c r="A10" s="51" t="s">
        <v>217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ht="14.25" x14ac:dyDescent="0.45">
      <c r="A11" s="51" t="s">
        <v>218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ht="14.25" x14ac:dyDescent="0.45">
      <c r="A12" s="51" t="s">
        <v>416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ht="14.25" x14ac:dyDescent="0.45">
      <c r="A13" s="51" t="s">
        <v>220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ht="14.25" x14ac:dyDescent="0.45">
      <c r="A14" s="51" t="s">
        <v>221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ht="14.25" x14ac:dyDescent="0.45">
      <c r="A15" s="51" t="s">
        <v>417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ht="14.25" x14ac:dyDescent="0.45">
      <c r="A16" s="51" t="s">
        <v>418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10" t="s">
        <v>419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51" t="s">
        <v>240</v>
      </c>
      <c r="B18" s="58">
        <v>1</v>
      </c>
      <c r="C18" s="58">
        <v>1.5</v>
      </c>
      <c r="D18" s="58">
        <v>2</v>
      </c>
      <c r="E18" s="58">
        <v>2.5</v>
      </c>
      <c r="F18" s="58">
        <v>3</v>
      </c>
      <c r="G18" s="58">
        <v>3.5</v>
      </c>
    </row>
    <row r="19" spans="1:7" ht="14.25" x14ac:dyDescent="0.45">
      <c r="A19" s="51" t="s">
        <v>241</v>
      </c>
      <c r="B19" s="58">
        <v>1</v>
      </c>
      <c r="C19" s="58">
        <v>1.5</v>
      </c>
      <c r="D19" s="58">
        <v>2</v>
      </c>
      <c r="E19" s="58">
        <v>2.5</v>
      </c>
      <c r="F19" s="58">
        <v>3</v>
      </c>
      <c r="G19" s="58">
        <v>3.5</v>
      </c>
    </row>
    <row r="20" spans="1:7" x14ac:dyDescent="0.25">
      <c r="A20" s="51" t="s">
        <v>420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ht="14.25" x14ac:dyDescent="0.45">
      <c r="A21" s="52"/>
      <c r="B21" s="52"/>
      <c r="C21" s="52"/>
      <c r="D21" s="52"/>
      <c r="E21" s="52"/>
      <c r="F21" s="52"/>
      <c r="G21" s="52"/>
    </row>
    <row r="22" spans="1:7" ht="14.25" x14ac:dyDescent="0.45">
      <c r="A22" s="53" t="s">
        <v>422</v>
      </c>
      <c r="B22" s="59">
        <f>SUM(B23:B27)</f>
        <v>5</v>
      </c>
      <c r="C22" s="59">
        <f t="shared" ref="C22:G22" si="1">SUM(C23:C27)</f>
        <v>7.5</v>
      </c>
      <c r="D22" s="59">
        <f t="shared" si="1"/>
        <v>10</v>
      </c>
      <c r="E22" s="59">
        <f t="shared" si="1"/>
        <v>12.5</v>
      </c>
      <c r="F22" s="59">
        <f t="shared" si="1"/>
        <v>15</v>
      </c>
      <c r="G22" s="59">
        <f t="shared" si="1"/>
        <v>17.5</v>
      </c>
    </row>
    <row r="23" spans="1:7" ht="14.25" x14ac:dyDescent="0.45">
      <c r="A23" s="51" t="s">
        <v>423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ht="14.25" x14ac:dyDescent="0.45">
      <c r="A24" s="51" t="s">
        <v>424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ht="14.25" x14ac:dyDescent="0.45">
      <c r="A25" s="51" t="s">
        <v>425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ht="14.25" x14ac:dyDescent="0.45">
      <c r="A26" s="54" t="s">
        <v>265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ht="14.25" x14ac:dyDescent="0.45">
      <c r="A27" s="51" t="s">
        <v>266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ht="14.25" x14ac:dyDescent="0.45">
      <c r="A29" s="53" t="s">
        <v>426</v>
      </c>
      <c r="B29" s="59">
        <f>B30</f>
        <v>1</v>
      </c>
      <c r="C29" s="59">
        <f t="shared" ref="C29:G29" si="2">C30</f>
        <v>1.5</v>
      </c>
      <c r="D29" s="59">
        <f t="shared" si="2"/>
        <v>2</v>
      </c>
      <c r="E29" s="59">
        <f t="shared" si="2"/>
        <v>2.5</v>
      </c>
      <c r="F29" s="59">
        <f t="shared" si="2"/>
        <v>3</v>
      </c>
      <c r="G29" s="59">
        <f t="shared" si="2"/>
        <v>3.5</v>
      </c>
    </row>
    <row r="30" spans="1:7" ht="14.25" x14ac:dyDescent="0.45">
      <c r="A30" s="51" t="s">
        <v>269</v>
      </c>
      <c r="B30" s="58">
        <v>1</v>
      </c>
      <c r="C30" s="58">
        <v>1.5</v>
      </c>
      <c r="D30" s="58">
        <v>2</v>
      </c>
      <c r="E30" s="58">
        <v>2.5</v>
      </c>
      <c r="F30" s="58">
        <v>3</v>
      </c>
      <c r="G30" s="58">
        <v>3.5</v>
      </c>
    </row>
    <row r="31" spans="1:7" ht="14.25" x14ac:dyDescent="0.45">
      <c r="A31" s="52"/>
      <c r="B31" s="52"/>
      <c r="C31" s="52"/>
      <c r="D31" s="52"/>
      <c r="E31" s="52"/>
      <c r="F31" s="52"/>
      <c r="G31" s="52"/>
    </row>
    <row r="32" spans="1:7" ht="14.25" x14ac:dyDescent="0.45">
      <c r="A32" s="14" t="s">
        <v>427</v>
      </c>
      <c r="B32" s="59">
        <f>B29+B22+B8</f>
        <v>18</v>
      </c>
      <c r="C32" s="59">
        <f t="shared" ref="C32:F32" si="3">C29+C22+C8</f>
        <v>27</v>
      </c>
      <c r="D32" s="59">
        <f t="shared" si="3"/>
        <v>36</v>
      </c>
      <c r="E32" s="59">
        <f t="shared" si="3"/>
        <v>45</v>
      </c>
      <c r="F32" s="59">
        <f t="shared" si="3"/>
        <v>54</v>
      </c>
      <c r="G32" s="59">
        <f>G29+G22+G8</f>
        <v>63</v>
      </c>
    </row>
    <row r="33" spans="1:7" ht="14.25" x14ac:dyDescent="0.45">
      <c r="A33" s="52"/>
      <c r="B33" s="52"/>
      <c r="C33" s="52"/>
      <c r="D33" s="52"/>
      <c r="E33" s="52"/>
      <c r="F33" s="52"/>
      <c r="G33" s="52"/>
    </row>
    <row r="34" spans="1:7" ht="14.25" x14ac:dyDescent="0.45">
      <c r="A34" s="53" t="s">
        <v>271</v>
      </c>
      <c r="B34" s="60"/>
      <c r="C34" s="60"/>
      <c r="D34" s="60"/>
      <c r="E34" s="60"/>
      <c r="F34" s="60"/>
      <c r="G34" s="60"/>
    </row>
    <row r="35" spans="1:7" ht="30" x14ac:dyDescent="0.25">
      <c r="A35" s="55" t="s">
        <v>428</v>
      </c>
      <c r="B35" s="58">
        <v>1</v>
      </c>
      <c r="C35" s="58">
        <v>1.5</v>
      </c>
      <c r="D35" s="58">
        <v>2</v>
      </c>
      <c r="E35" s="58">
        <v>2.5</v>
      </c>
      <c r="F35" s="58">
        <v>3</v>
      </c>
      <c r="G35" s="58">
        <v>3.5</v>
      </c>
    </row>
    <row r="36" spans="1:7" ht="28.5" x14ac:dyDescent="0.45">
      <c r="A36" s="55" t="s">
        <v>273</v>
      </c>
      <c r="B36" s="58">
        <v>1</v>
      </c>
      <c r="C36" s="58">
        <v>1.5</v>
      </c>
      <c r="D36" s="58">
        <v>2</v>
      </c>
      <c r="E36" s="58">
        <v>2.5</v>
      </c>
      <c r="F36" s="58">
        <v>3</v>
      </c>
      <c r="G36" s="58">
        <v>3.5</v>
      </c>
    </row>
    <row r="37" spans="1:7" ht="14.25" x14ac:dyDescent="0.45">
      <c r="A37" s="53" t="s">
        <v>429</v>
      </c>
      <c r="B37" s="59">
        <f>B36+B35</f>
        <v>2</v>
      </c>
      <c r="C37" s="59">
        <f t="shared" ref="C37:F37" si="4">C36+C35</f>
        <v>3</v>
      </c>
      <c r="D37" s="59">
        <f t="shared" si="4"/>
        <v>4</v>
      </c>
      <c r="E37" s="59">
        <f t="shared" si="4"/>
        <v>5</v>
      </c>
      <c r="F37" s="59">
        <f t="shared" si="4"/>
        <v>6</v>
      </c>
      <c r="G37" s="59">
        <f>G36+G35</f>
        <v>7</v>
      </c>
    </row>
    <row r="38" spans="1:7" ht="14.25" x14ac:dyDescent="0.45">
      <c r="A38" s="56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0" t="s">
        <v>443</v>
      </c>
      <c r="B1" s="160"/>
      <c r="C1" s="160"/>
      <c r="D1" s="160"/>
      <c r="E1" s="160"/>
      <c r="F1" s="160"/>
      <c r="G1" s="160"/>
    </row>
    <row r="2" spans="1:7" customFormat="1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customFormat="1" ht="14.25" x14ac:dyDescent="0.45">
      <c r="A3" s="145" t="s">
        <v>444</v>
      </c>
      <c r="B3" s="146"/>
      <c r="C3" s="146"/>
      <c r="D3" s="146"/>
      <c r="E3" s="146"/>
      <c r="F3" s="146"/>
      <c r="G3" s="147"/>
    </row>
    <row r="4" spans="1:7" customFormat="1" ht="14.25" x14ac:dyDescent="0.45">
      <c r="A4" s="145" t="s">
        <v>118</v>
      </c>
      <c r="B4" s="146"/>
      <c r="C4" s="146"/>
      <c r="D4" s="146"/>
      <c r="E4" s="146"/>
      <c r="F4" s="146"/>
      <c r="G4" s="147"/>
    </row>
    <row r="5" spans="1:7" customFormat="1" ht="14.25" x14ac:dyDescent="0.45">
      <c r="A5" s="145" t="s">
        <v>415</v>
      </c>
      <c r="B5" s="146"/>
      <c r="C5" s="146"/>
      <c r="D5" s="146"/>
      <c r="E5" s="146"/>
      <c r="F5" s="146"/>
      <c r="G5" s="147"/>
    </row>
    <row r="6" spans="1:7" customFormat="1" x14ac:dyDescent="0.25">
      <c r="A6" s="172" t="s">
        <v>3134</v>
      </c>
      <c r="B6" s="49">
        <f>ANIO1P</f>
        <v>2021</v>
      </c>
      <c r="C6" s="170" t="str">
        <f>ANIO2P</f>
        <v>2022 (d)</v>
      </c>
      <c r="D6" s="170" t="str">
        <f>ANIO3P</f>
        <v>2023 (d)</v>
      </c>
      <c r="E6" s="170" t="str">
        <f>ANIO4P</f>
        <v>2024 (d)</v>
      </c>
      <c r="F6" s="170" t="str">
        <f>ANIO5P</f>
        <v>2025 (d)</v>
      </c>
      <c r="G6" s="170" t="str">
        <f>ANIO6P</f>
        <v>2026 (d)</v>
      </c>
    </row>
    <row r="7" spans="1:7" customFormat="1" ht="48" customHeight="1" x14ac:dyDescent="0.25">
      <c r="A7" s="173"/>
      <c r="B7" s="77" t="s">
        <v>3283</v>
      </c>
      <c r="C7" s="171"/>
      <c r="D7" s="171"/>
      <c r="E7" s="171"/>
      <c r="F7" s="171"/>
      <c r="G7" s="171"/>
    </row>
    <row r="8" spans="1:7" x14ac:dyDescent="0.25">
      <c r="A8" s="50" t="s">
        <v>445</v>
      </c>
      <c r="B8" s="57">
        <f>SUM(B9:B17)</f>
        <v>9</v>
      </c>
      <c r="C8" s="57">
        <f t="shared" ref="C8:G8" si="0">SUM(C9:C17)</f>
        <v>13.5</v>
      </c>
      <c r="D8" s="57">
        <f t="shared" si="0"/>
        <v>18</v>
      </c>
      <c r="E8" s="57">
        <f t="shared" si="0"/>
        <v>22.5</v>
      </c>
      <c r="F8" s="57">
        <f t="shared" si="0"/>
        <v>27</v>
      </c>
      <c r="G8" s="57">
        <f t="shared" si="0"/>
        <v>31.5</v>
      </c>
    </row>
    <row r="9" spans="1:7" x14ac:dyDescent="0.25">
      <c r="A9" s="51" t="s">
        <v>446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 x14ac:dyDescent="0.25">
      <c r="A10" s="51" t="s">
        <v>447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 x14ac:dyDescent="0.25">
      <c r="A11" s="51" t="s">
        <v>448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 x14ac:dyDescent="0.25">
      <c r="A12" s="51" t="s">
        <v>449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 x14ac:dyDescent="0.25">
      <c r="A13" s="51" t="s">
        <v>450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 x14ac:dyDescent="0.25">
      <c r="A14" s="51" t="s">
        <v>451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 x14ac:dyDescent="0.25">
      <c r="A15" s="51" t="s">
        <v>452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 x14ac:dyDescent="0.25">
      <c r="A16" s="51" t="s">
        <v>453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 x14ac:dyDescent="0.25">
      <c r="A17" s="51" t="s">
        <v>454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 ht="14.25" x14ac:dyDescent="0.45">
      <c r="A18" s="78"/>
      <c r="B18" s="52"/>
      <c r="C18" s="52"/>
      <c r="D18" s="52"/>
      <c r="E18" s="52"/>
      <c r="F18" s="52"/>
      <c r="G18" s="52"/>
    </row>
    <row r="19" spans="1:7" x14ac:dyDescent="0.25">
      <c r="A19" s="53" t="s">
        <v>455</v>
      </c>
      <c r="B19" s="59">
        <f>SUM(B20:B28)</f>
        <v>9</v>
      </c>
      <c r="C19" s="59">
        <f t="shared" ref="C19:G19" si="1">SUM(C20:C28)</f>
        <v>13.5</v>
      </c>
      <c r="D19" s="59">
        <f t="shared" si="1"/>
        <v>18</v>
      </c>
      <c r="E19" s="59">
        <f t="shared" si="1"/>
        <v>22.5</v>
      </c>
      <c r="F19" s="59">
        <f t="shared" si="1"/>
        <v>27</v>
      </c>
      <c r="G19" s="59">
        <f t="shared" si="1"/>
        <v>31.5</v>
      </c>
    </row>
    <row r="20" spans="1:7" x14ac:dyDescent="0.25">
      <c r="A20" s="51" t="s">
        <v>446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 x14ac:dyDescent="0.25">
      <c r="A21" s="51" t="s">
        <v>447</v>
      </c>
      <c r="B21" s="58">
        <v>1</v>
      </c>
      <c r="C21" s="58">
        <v>1.5</v>
      </c>
      <c r="D21" s="58">
        <v>2</v>
      </c>
      <c r="E21" s="58">
        <v>2.5</v>
      </c>
      <c r="F21" s="58">
        <v>3</v>
      </c>
      <c r="G21" s="58">
        <v>3.5</v>
      </c>
    </row>
    <row r="22" spans="1:7" x14ac:dyDescent="0.25">
      <c r="A22" s="51" t="s">
        <v>448</v>
      </c>
      <c r="B22" s="58">
        <v>1</v>
      </c>
      <c r="C22" s="58">
        <v>1.5</v>
      </c>
      <c r="D22" s="58">
        <v>2</v>
      </c>
      <c r="E22" s="58">
        <v>2.5</v>
      </c>
      <c r="F22" s="58">
        <v>3</v>
      </c>
      <c r="G22" s="58">
        <v>3.5</v>
      </c>
    </row>
    <row r="23" spans="1:7" x14ac:dyDescent="0.25">
      <c r="A23" s="51" t="s">
        <v>449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 x14ac:dyDescent="0.25">
      <c r="A24" s="51" t="s">
        <v>450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 x14ac:dyDescent="0.25">
      <c r="A25" s="51" t="s">
        <v>451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 x14ac:dyDescent="0.25">
      <c r="A26" s="51" t="s">
        <v>452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 x14ac:dyDescent="0.25">
      <c r="A27" s="51" t="s">
        <v>456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 x14ac:dyDescent="0.25">
      <c r="A28" s="51" t="s">
        <v>454</v>
      </c>
      <c r="B28" s="58">
        <v>1</v>
      </c>
      <c r="C28" s="58">
        <v>1.5</v>
      </c>
      <c r="D28" s="58">
        <v>2</v>
      </c>
      <c r="E28" s="58">
        <v>2.5</v>
      </c>
      <c r="F28" s="58">
        <v>3</v>
      </c>
      <c r="G28" s="58">
        <v>3.5</v>
      </c>
    </row>
    <row r="29" spans="1:7" ht="14.25" x14ac:dyDescent="0.45">
      <c r="A29" s="52"/>
      <c r="B29" s="52"/>
      <c r="C29" s="52"/>
      <c r="D29" s="52"/>
      <c r="E29" s="52"/>
      <c r="F29" s="52"/>
      <c r="G29" s="52"/>
    </row>
    <row r="30" spans="1:7" x14ac:dyDescent="0.25">
      <c r="A30" s="53" t="s">
        <v>457</v>
      </c>
      <c r="B30" s="59">
        <f>B8+B19</f>
        <v>18</v>
      </c>
      <c r="C30" s="59">
        <f t="shared" ref="C30:G30" si="2">C8+C19</f>
        <v>27</v>
      </c>
      <c r="D30" s="59">
        <f t="shared" si="2"/>
        <v>36</v>
      </c>
      <c r="E30" s="59">
        <f t="shared" si="2"/>
        <v>45</v>
      </c>
      <c r="F30" s="59">
        <f t="shared" si="2"/>
        <v>54</v>
      </c>
      <c r="G30" s="59">
        <f t="shared" si="2"/>
        <v>63</v>
      </c>
    </row>
    <row r="31" spans="1:7" ht="14.25" x14ac:dyDescent="0.45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60" t="s">
        <v>458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459</v>
      </c>
      <c r="B3" s="146"/>
      <c r="C3" s="146"/>
      <c r="D3" s="146"/>
      <c r="E3" s="146"/>
      <c r="F3" s="146"/>
      <c r="G3" s="147"/>
    </row>
    <row r="4" spans="1:7" ht="14.25" x14ac:dyDescent="0.45">
      <c r="A4" s="151" t="s">
        <v>118</v>
      </c>
      <c r="B4" s="152"/>
      <c r="C4" s="152"/>
      <c r="D4" s="152"/>
      <c r="E4" s="152"/>
      <c r="F4" s="152"/>
      <c r="G4" s="153"/>
    </row>
    <row r="5" spans="1:7" x14ac:dyDescent="0.25">
      <c r="A5" s="177" t="s">
        <v>3280</v>
      </c>
      <c r="B5" s="175" t="str">
        <f>ANIO5R</f>
        <v>2015 ¹ (c)</v>
      </c>
      <c r="C5" s="175" t="str">
        <f>ANIO4R</f>
        <v>2016 ¹ (c)</v>
      </c>
      <c r="D5" s="175" t="str">
        <f>ANIO3R</f>
        <v>2017 ¹ (c)</v>
      </c>
      <c r="E5" s="175" t="str">
        <f>ANIO2R</f>
        <v>2018 ¹ (c)</v>
      </c>
      <c r="F5" s="175" t="str">
        <f>ANIO1R</f>
        <v>2019 ¹ (c)</v>
      </c>
      <c r="G5" s="49">
        <f>ANIO_INFORME</f>
        <v>2020</v>
      </c>
    </row>
    <row r="6" spans="1:7" ht="32.1" customHeight="1" x14ac:dyDescent="0.25">
      <c r="A6" s="178"/>
      <c r="B6" s="176"/>
      <c r="C6" s="176"/>
      <c r="D6" s="176"/>
      <c r="E6" s="176"/>
      <c r="F6" s="176"/>
      <c r="G6" s="77" t="s">
        <v>3286</v>
      </c>
    </row>
    <row r="7" spans="1:7" x14ac:dyDescent="0.25">
      <c r="A7" s="50" t="s">
        <v>460</v>
      </c>
      <c r="B7" s="57">
        <f>SUM(B8:B19)</f>
        <v>9</v>
      </c>
      <c r="C7" s="57">
        <f t="shared" ref="C7:G7" si="0">SUM(C8:C19)</f>
        <v>12</v>
      </c>
      <c r="D7" s="57">
        <f t="shared" si="0"/>
        <v>15</v>
      </c>
      <c r="E7" s="57">
        <f t="shared" si="0"/>
        <v>18</v>
      </c>
      <c r="F7" s="57">
        <f t="shared" si="0"/>
        <v>21</v>
      </c>
      <c r="G7" s="57">
        <f t="shared" si="0"/>
        <v>24</v>
      </c>
    </row>
    <row r="8" spans="1:7" x14ac:dyDescent="0.25">
      <c r="A8" s="51" t="s">
        <v>461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462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463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464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465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4" t="s">
        <v>466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467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468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469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x14ac:dyDescent="0.25">
      <c r="A17" s="51" t="s">
        <v>3290</v>
      </c>
      <c r="B17" s="58">
        <v>0.75</v>
      </c>
      <c r="C17" s="58">
        <v>1</v>
      </c>
      <c r="D17" s="58">
        <v>1.25</v>
      </c>
      <c r="E17" s="58">
        <v>1.5</v>
      </c>
      <c r="F17" s="58">
        <v>1.75</v>
      </c>
      <c r="G17" s="58">
        <v>2</v>
      </c>
    </row>
    <row r="18" spans="1:7" x14ac:dyDescent="0.25">
      <c r="A18" s="51" t="s">
        <v>470</v>
      </c>
      <c r="B18" s="58">
        <v>0.75</v>
      </c>
      <c r="C18" s="58">
        <v>1</v>
      </c>
      <c r="D18" s="58">
        <v>1.25</v>
      </c>
      <c r="E18" s="58">
        <v>1.5</v>
      </c>
      <c r="F18" s="58">
        <v>1.75</v>
      </c>
      <c r="G18" s="58">
        <v>2</v>
      </c>
    </row>
    <row r="19" spans="1:7" x14ac:dyDescent="0.25">
      <c r="A19" s="51" t="s">
        <v>471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ht="14.25" x14ac:dyDescent="0.45">
      <c r="A20" s="52"/>
      <c r="B20" s="52"/>
      <c r="C20" s="52"/>
      <c r="D20" s="52"/>
      <c r="E20" s="52"/>
      <c r="F20" s="52"/>
      <c r="G20" s="52"/>
    </row>
    <row r="21" spans="1:7" x14ac:dyDescent="0.25">
      <c r="A21" s="53" t="s">
        <v>477</v>
      </c>
      <c r="B21" s="59">
        <f>SUM(B22:B26)</f>
        <v>3.75</v>
      </c>
      <c r="C21" s="59">
        <f t="shared" ref="C21:G21" si="1">SUM(C22:C26)</f>
        <v>5</v>
      </c>
      <c r="D21" s="59">
        <f t="shared" si="1"/>
        <v>6.25</v>
      </c>
      <c r="E21" s="59">
        <f t="shared" si="1"/>
        <v>7.5</v>
      </c>
      <c r="F21" s="59">
        <f t="shared" si="1"/>
        <v>8.75</v>
      </c>
      <c r="G21" s="59">
        <f t="shared" si="1"/>
        <v>10</v>
      </c>
    </row>
    <row r="22" spans="1:7" x14ac:dyDescent="0.25">
      <c r="A22" s="51" t="s">
        <v>472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473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474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475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476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ht="14.25" x14ac:dyDescent="0.45">
      <c r="A27" s="52"/>
      <c r="B27" s="52"/>
      <c r="C27" s="52"/>
      <c r="D27" s="52"/>
      <c r="E27" s="52"/>
      <c r="F27" s="52"/>
      <c r="G27" s="52"/>
    </row>
    <row r="28" spans="1:7" x14ac:dyDescent="0.25">
      <c r="A28" s="53" t="s">
        <v>478</v>
      </c>
      <c r="B28" s="59">
        <f>B29</f>
        <v>0.75</v>
      </c>
      <c r="C28" s="59">
        <f t="shared" ref="C28:G28" si="2">C29</f>
        <v>1</v>
      </c>
      <c r="D28" s="59">
        <f t="shared" si="2"/>
        <v>1.25</v>
      </c>
      <c r="E28" s="59">
        <f t="shared" si="2"/>
        <v>1.5</v>
      </c>
      <c r="F28" s="59">
        <f t="shared" si="2"/>
        <v>1.75</v>
      </c>
      <c r="G28" s="59">
        <f t="shared" si="2"/>
        <v>2</v>
      </c>
    </row>
    <row r="29" spans="1:7" ht="14.25" x14ac:dyDescent="0.45">
      <c r="A29" s="51" t="s">
        <v>269</v>
      </c>
      <c r="B29" s="58">
        <v>0.75</v>
      </c>
      <c r="C29" s="58">
        <v>1</v>
      </c>
      <c r="D29" s="58">
        <v>1.25</v>
      </c>
      <c r="E29" s="58">
        <v>1.5</v>
      </c>
      <c r="F29" s="58">
        <v>1.75</v>
      </c>
      <c r="G29" s="58">
        <v>2</v>
      </c>
    </row>
    <row r="30" spans="1:7" ht="14.25" x14ac:dyDescent="0.45">
      <c r="A30" s="52"/>
      <c r="B30" s="52"/>
      <c r="C30" s="52"/>
      <c r="D30" s="52"/>
      <c r="E30" s="52"/>
      <c r="F30" s="52"/>
      <c r="G30" s="52"/>
    </row>
    <row r="31" spans="1:7" x14ac:dyDescent="0.25">
      <c r="A31" s="53" t="s">
        <v>479</v>
      </c>
      <c r="B31" s="59">
        <f>B7+B21+B28</f>
        <v>13.5</v>
      </c>
      <c r="C31" s="59">
        <f t="shared" ref="C31:G31" si="3">C7+C21+C28</f>
        <v>18</v>
      </c>
      <c r="D31" s="59">
        <f t="shared" si="3"/>
        <v>22.5</v>
      </c>
      <c r="E31" s="59">
        <f t="shared" si="3"/>
        <v>27</v>
      </c>
      <c r="F31" s="59">
        <f t="shared" si="3"/>
        <v>31.5</v>
      </c>
      <c r="G31" s="59">
        <f t="shared" si="3"/>
        <v>36</v>
      </c>
    </row>
    <row r="32" spans="1:7" ht="14.25" x14ac:dyDescent="0.45">
      <c r="A32" s="52"/>
      <c r="B32" s="52"/>
      <c r="C32" s="52"/>
      <c r="D32" s="52"/>
      <c r="E32" s="52"/>
      <c r="F32" s="52"/>
      <c r="G32" s="52"/>
    </row>
    <row r="33" spans="1:7" ht="14.25" x14ac:dyDescent="0.45">
      <c r="A33" s="53" t="s">
        <v>271</v>
      </c>
      <c r="B33" s="52"/>
      <c r="C33" s="52"/>
      <c r="D33" s="52"/>
      <c r="E33" s="52"/>
      <c r="F33" s="52"/>
      <c r="G33" s="52"/>
    </row>
    <row r="34" spans="1:7" ht="30" x14ac:dyDescent="0.25">
      <c r="A34" s="55" t="s">
        <v>428</v>
      </c>
      <c r="B34" s="58">
        <v>0.75</v>
      </c>
      <c r="C34" s="58">
        <v>1</v>
      </c>
      <c r="D34" s="58">
        <v>1.25</v>
      </c>
      <c r="E34" s="58">
        <v>1.5</v>
      </c>
      <c r="F34" s="58">
        <v>1.75</v>
      </c>
      <c r="G34" s="58">
        <v>2</v>
      </c>
    </row>
    <row r="35" spans="1:7" ht="14.25" x14ac:dyDescent="0.45">
      <c r="A35" s="55" t="s">
        <v>480</v>
      </c>
      <c r="B35" s="58">
        <v>0.75</v>
      </c>
      <c r="C35" s="58">
        <v>1</v>
      </c>
      <c r="D35" s="58">
        <v>1.25</v>
      </c>
      <c r="E35" s="58">
        <v>1.5</v>
      </c>
      <c r="F35" s="58">
        <v>1.75</v>
      </c>
      <c r="G35" s="58">
        <v>2</v>
      </c>
    </row>
    <row r="36" spans="1:7" ht="14.25" x14ac:dyDescent="0.45">
      <c r="A36" s="53" t="s">
        <v>481</v>
      </c>
      <c r="B36" s="59">
        <f>B34+B35</f>
        <v>1.5</v>
      </c>
      <c r="C36" s="59">
        <f t="shared" ref="C36:G36" si="4">C34+C35</f>
        <v>2</v>
      </c>
      <c r="D36" s="59">
        <f t="shared" si="4"/>
        <v>2.5</v>
      </c>
      <c r="E36" s="59">
        <f t="shared" si="4"/>
        <v>3</v>
      </c>
      <c r="F36" s="59">
        <f t="shared" si="4"/>
        <v>3.5</v>
      </c>
      <c r="G36" s="59">
        <f t="shared" si="4"/>
        <v>4</v>
      </c>
    </row>
    <row r="37" spans="1:7" ht="14.25" x14ac:dyDescent="0.45">
      <c r="A37" s="63"/>
      <c r="B37" s="63"/>
      <c r="C37" s="63"/>
      <c r="D37" s="63"/>
      <c r="E37" s="63"/>
      <c r="F37" s="63"/>
      <c r="G37" s="63"/>
    </row>
    <row r="38" spans="1:7" ht="14.25" x14ac:dyDescent="0.45">
      <c r="A38" s="79"/>
    </row>
    <row r="39" spans="1:7" ht="15" customHeight="1" x14ac:dyDescent="0.45">
      <c r="A39" s="174" t="s">
        <v>3284</v>
      </c>
      <c r="B39" s="174"/>
      <c r="C39" s="174"/>
      <c r="D39" s="174"/>
      <c r="E39" s="174"/>
      <c r="F39" s="174"/>
      <c r="G39" s="174"/>
    </row>
    <row r="40" spans="1:7" ht="15" customHeight="1" x14ac:dyDescent="0.25">
      <c r="A40" s="174" t="s">
        <v>3285</v>
      </c>
      <c r="B40" s="174"/>
      <c r="C40" s="174"/>
      <c r="D40" s="174"/>
      <c r="E40" s="174"/>
      <c r="F40" s="174"/>
      <c r="G40" s="17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0" customFormat="1" ht="37.5" customHeight="1" x14ac:dyDescent="0.45">
      <c r="A1" s="160" t="s">
        <v>482</v>
      </c>
      <c r="B1" s="160"/>
      <c r="C1" s="160"/>
      <c r="D1" s="160"/>
      <c r="E1" s="160"/>
      <c r="F1" s="160"/>
      <c r="G1" s="160"/>
    </row>
    <row r="2" spans="1:7" ht="14.25" x14ac:dyDescent="0.45">
      <c r="A2" s="142" t="str">
        <f>ENTIDAD</f>
        <v>Municipio de Silao, Gobierno del Estado de Guanajuato</v>
      </c>
      <c r="B2" s="143"/>
      <c r="C2" s="143"/>
      <c r="D2" s="143"/>
      <c r="E2" s="143"/>
      <c r="F2" s="143"/>
      <c r="G2" s="144"/>
    </row>
    <row r="3" spans="1:7" ht="14.25" x14ac:dyDescent="0.45">
      <c r="A3" s="145" t="s">
        <v>483</v>
      </c>
      <c r="B3" s="146"/>
      <c r="C3" s="146"/>
      <c r="D3" s="146"/>
      <c r="E3" s="146"/>
      <c r="F3" s="146"/>
      <c r="G3" s="147"/>
    </row>
    <row r="4" spans="1:7" ht="14.25" x14ac:dyDescent="0.45">
      <c r="A4" s="151" t="s">
        <v>118</v>
      </c>
      <c r="B4" s="152"/>
      <c r="C4" s="152"/>
      <c r="D4" s="152"/>
      <c r="E4" s="152"/>
      <c r="F4" s="152"/>
      <c r="G4" s="153"/>
    </row>
    <row r="5" spans="1:7" x14ac:dyDescent="0.25">
      <c r="A5" s="179" t="s">
        <v>3134</v>
      </c>
      <c r="B5" s="175" t="str">
        <f>ANIO5R</f>
        <v>2015 ¹ (c)</v>
      </c>
      <c r="C5" s="175" t="str">
        <f>ANIO4R</f>
        <v>2016 ¹ (c)</v>
      </c>
      <c r="D5" s="175" t="str">
        <f>ANIO3R</f>
        <v>2017 ¹ (c)</v>
      </c>
      <c r="E5" s="175" t="str">
        <f>ANIO2R</f>
        <v>2018 ¹ (c)</v>
      </c>
      <c r="F5" s="175" t="str">
        <f>ANIO1R</f>
        <v>2019 ¹ (c)</v>
      </c>
      <c r="G5" s="49">
        <f>ANIO_INFORME</f>
        <v>2020</v>
      </c>
    </row>
    <row r="6" spans="1:7" ht="32.1" customHeight="1" x14ac:dyDescent="0.25">
      <c r="A6" s="180"/>
      <c r="B6" s="176"/>
      <c r="C6" s="176"/>
      <c r="D6" s="176"/>
      <c r="E6" s="176"/>
      <c r="F6" s="176"/>
      <c r="G6" s="77" t="s">
        <v>3287</v>
      </c>
    </row>
    <row r="7" spans="1:7" ht="14.25" x14ac:dyDescent="0.45">
      <c r="A7" s="50" t="s">
        <v>484</v>
      </c>
      <c r="B7" s="57">
        <f>SUM(B8:B16)</f>
        <v>6.75</v>
      </c>
      <c r="C7" s="57">
        <f t="shared" ref="C7:G7" si="0">SUM(C8:C16)</f>
        <v>9</v>
      </c>
      <c r="D7" s="57">
        <f t="shared" si="0"/>
        <v>11.25</v>
      </c>
      <c r="E7" s="57">
        <f t="shared" si="0"/>
        <v>13.5</v>
      </c>
      <c r="F7" s="57">
        <f t="shared" si="0"/>
        <v>15.75</v>
      </c>
      <c r="G7" s="57">
        <f t="shared" si="0"/>
        <v>18</v>
      </c>
    </row>
    <row r="8" spans="1:7" x14ac:dyDescent="0.25">
      <c r="A8" s="51" t="s">
        <v>446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 x14ac:dyDescent="0.25">
      <c r="A9" s="51" t="s">
        <v>447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 x14ac:dyDescent="0.25">
      <c r="A10" s="51" t="s">
        <v>448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 x14ac:dyDescent="0.25">
      <c r="A11" s="51" t="s">
        <v>449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 x14ac:dyDescent="0.25">
      <c r="A12" s="51" t="s">
        <v>450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 x14ac:dyDescent="0.25">
      <c r="A13" s="51" t="s">
        <v>451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 x14ac:dyDescent="0.25">
      <c r="A14" s="51" t="s">
        <v>452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 x14ac:dyDescent="0.25">
      <c r="A15" s="51" t="s">
        <v>453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 x14ac:dyDescent="0.25">
      <c r="A16" s="51" t="s">
        <v>454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 ht="14.25" x14ac:dyDescent="0.45">
      <c r="A17" s="52"/>
      <c r="B17" s="52"/>
      <c r="C17" s="52"/>
      <c r="D17" s="52"/>
      <c r="E17" s="52"/>
      <c r="F17" s="52"/>
      <c r="G17" s="52"/>
    </row>
    <row r="18" spans="1:7" ht="14.25" x14ac:dyDescent="0.45">
      <c r="A18" s="53" t="s">
        <v>485</v>
      </c>
      <c r="B18" s="59">
        <f>SUM(B19:B27)</f>
        <v>6.75</v>
      </c>
      <c r="C18" s="59">
        <f t="shared" ref="C18:G18" si="1">SUM(C19:C27)</f>
        <v>9</v>
      </c>
      <c r="D18" s="59">
        <f t="shared" si="1"/>
        <v>11.25</v>
      </c>
      <c r="E18" s="59">
        <f t="shared" si="1"/>
        <v>13.5</v>
      </c>
      <c r="F18" s="59">
        <f t="shared" si="1"/>
        <v>15.75</v>
      </c>
      <c r="G18" s="59">
        <f t="shared" si="1"/>
        <v>18</v>
      </c>
    </row>
    <row r="19" spans="1:7" x14ac:dyDescent="0.25">
      <c r="A19" s="51" t="s">
        <v>446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 x14ac:dyDescent="0.25">
      <c r="A20" s="51" t="s">
        <v>447</v>
      </c>
      <c r="B20" s="58">
        <v>0.75</v>
      </c>
      <c r="C20" s="58">
        <v>1</v>
      </c>
      <c r="D20" s="58">
        <v>1.25</v>
      </c>
      <c r="E20" s="58">
        <v>1.5</v>
      </c>
      <c r="F20" s="58">
        <v>1.75</v>
      </c>
      <c r="G20" s="58">
        <v>2</v>
      </c>
    </row>
    <row r="21" spans="1:7" x14ac:dyDescent="0.25">
      <c r="A21" s="51" t="s">
        <v>448</v>
      </c>
      <c r="B21" s="58">
        <v>0.75</v>
      </c>
      <c r="C21" s="58">
        <v>1</v>
      </c>
      <c r="D21" s="58">
        <v>1.25</v>
      </c>
      <c r="E21" s="58">
        <v>1.5</v>
      </c>
      <c r="F21" s="58">
        <v>1.75</v>
      </c>
      <c r="G21" s="58">
        <v>2</v>
      </c>
    </row>
    <row r="22" spans="1:7" x14ac:dyDescent="0.25">
      <c r="A22" s="51" t="s">
        <v>449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 x14ac:dyDescent="0.25">
      <c r="A23" s="51" t="s">
        <v>450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 x14ac:dyDescent="0.25">
      <c r="A24" s="51" t="s">
        <v>451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 x14ac:dyDescent="0.25">
      <c r="A25" s="51" t="s">
        <v>452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 x14ac:dyDescent="0.25">
      <c r="A26" s="51" t="s">
        <v>456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 x14ac:dyDescent="0.25">
      <c r="A27" s="51" t="s">
        <v>454</v>
      </c>
      <c r="B27" s="58">
        <v>0.75</v>
      </c>
      <c r="C27" s="58">
        <v>1</v>
      </c>
      <c r="D27" s="58">
        <v>1.25</v>
      </c>
      <c r="E27" s="58">
        <v>1.5</v>
      </c>
      <c r="F27" s="58">
        <v>1.75</v>
      </c>
      <c r="G27" s="58">
        <v>2</v>
      </c>
    </row>
    <row r="28" spans="1:7" ht="14.25" x14ac:dyDescent="0.45">
      <c r="A28" s="52"/>
      <c r="B28" s="52"/>
      <c r="C28" s="52"/>
      <c r="D28" s="52"/>
      <c r="E28" s="52"/>
      <c r="F28" s="52"/>
      <c r="G28" s="52"/>
    </row>
    <row r="29" spans="1:7" x14ac:dyDescent="0.25">
      <c r="A29" s="53" t="s">
        <v>486</v>
      </c>
      <c r="B29" s="58">
        <f>B7+B18</f>
        <v>13.5</v>
      </c>
      <c r="C29" s="58">
        <f t="shared" ref="C29:G29" si="2">C7+C18</f>
        <v>18</v>
      </c>
      <c r="D29" s="58">
        <f t="shared" si="2"/>
        <v>22.5</v>
      </c>
      <c r="E29" s="58">
        <f t="shared" si="2"/>
        <v>27</v>
      </c>
      <c r="F29" s="58">
        <f t="shared" si="2"/>
        <v>31.5</v>
      </c>
      <c r="G29" s="58">
        <f t="shared" si="2"/>
        <v>36</v>
      </c>
    </row>
    <row r="30" spans="1:7" ht="14.25" x14ac:dyDescent="0.45">
      <c r="A30" s="56"/>
      <c r="B30" s="56"/>
      <c r="C30" s="56"/>
      <c r="D30" s="56"/>
      <c r="E30" s="56"/>
      <c r="F30" s="56"/>
      <c r="G30" s="56"/>
    </row>
    <row r="31" spans="1:7" ht="14.25" x14ac:dyDescent="0.45">
      <c r="A31" s="79"/>
    </row>
    <row r="32" spans="1:7" ht="14.25" x14ac:dyDescent="0.45">
      <c r="A32" s="174" t="s">
        <v>3284</v>
      </c>
      <c r="B32" s="174"/>
      <c r="C32" s="174"/>
      <c r="D32" s="174"/>
      <c r="E32" s="174"/>
      <c r="F32" s="174"/>
      <c r="G32" s="174"/>
    </row>
    <row r="33" spans="1:7" x14ac:dyDescent="0.25">
      <c r="A33" s="174" t="s">
        <v>3285</v>
      </c>
      <c r="B33" s="174"/>
      <c r="C33" s="174"/>
      <c r="D33" s="174"/>
      <c r="E33" s="174"/>
      <c r="F33" s="174"/>
      <c r="G33" s="17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0" customFormat="1" ht="34.5" customHeight="1" x14ac:dyDescent="0.25">
      <c r="A1" s="154" t="s">
        <v>487</v>
      </c>
      <c r="B1" s="154"/>
      <c r="C1" s="154"/>
      <c r="D1" s="154"/>
      <c r="E1" s="154"/>
      <c r="F1" s="154"/>
      <c r="G1" s="100"/>
    </row>
    <row r="2" spans="1:7" ht="14.25" x14ac:dyDescent="0.45">
      <c r="A2" s="142" t="str">
        <f>ENTE_PUBLICO</f>
        <v>MUNICIPIO DE SILAO DE LA VICTORIA, Gobierno del Estado de Guanajuato</v>
      </c>
      <c r="B2" s="143"/>
      <c r="C2" s="143"/>
      <c r="D2" s="143"/>
      <c r="E2" s="143"/>
      <c r="F2" s="144"/>
    </row>
    <row r="3" spans="1:7" ht="14.25" x14ac:dyDescent="0.45">
      <c r="A3" s="151" t="s">
        <v>488</v>
      </c>
      <c r="B3" s="152"/>
      <c r="C3" s="152"/>
      <c r="D3" s="152"/>
      <c r="E3" s="152"/>
      <c r="F3" s="153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22" t="s">
        <v>494</v>
      </c>
      <c r="B5" s="5"/>
      <c r="C5" s="5"/>
      <c r="D5" s="5"/>
      <c r="E5" s="5"/>
      <c r="F5" s="5"/>
    </row>
    <row r="6" spans="1:7" ht="30" x14ac:dyDescent="0.25">
      <c r="A6" s="123" t="s">
        <v>495</v>
      </c>
      <c r="B6" s="58"/>
      <c r="C6" s="58"/>
      <c r="D6" s="58"/>
      <c r="E6" s="58"/>
      <c r="F6" s="58"/>
    </row>
    <row r="7" spans="1:7" x14ac:dyDescent="0.25">
      <c r="A7" s="123" t="s">
        <v>496</v>
      </c>
      <c r="B7" s="58"/>
      <c r="C7" s="58"/>
      <c r="D7" s="58"/>
      <c r="E7" s="58"/>
      <c r="F7" s="58"/>
    </row>
    <row r="8" spans="1:7" ht="14.25" x14ac:dyDescent="0.45">
      <c r="A8" s="124"/>
      <c r="B8" s="52"/>
      <c r="C8" s="52"/>
      <c r="D8" s="52"/>
      <c r="E8" s="52"/>
      <c r="F8" s="52"/>
    </row>
    <row r="9" spans="1:7" x14ac:dyDescent="0.25">
      <c r="A9" s="122" t="s">
        <v>497</v>
      </c>
      <c r="B9" s="52"/>
      <c r="C9" s="52"/>
      <c r="D9" s="52"/>
      <c r="E9" s="52"/>
      <c r="F9" s="52"/>
    </row>
    <row r="10" spans="1:7" ht="14.25" x14ac:dyDescent="0.45">
      <c r="A10" s="123" t="s">
        <v>498</v>
      </c>
      <c r="B10" s="58"/>
      <c r="C10" s="58"/>
      <c r="D10" s="58"/>
      <c r="E10" s="58"/>
      <c r="F10" s="58"/>
    </row>
    <row r="11" spans="1:7" x14ac:dyDescent="0.25">
      <c r="A11" s="125" t="s">
        <v>499</v>
      </c>
      <c r="B11" s="58"/>
      <c r="C11" s="58"/>
      <c r="D11" s="58"/>
      <c r="E11" s="58"/>
      <c r="F11" s="58"/>
    </row>
    <row r="12" spans="1:7" x14ac:dyDescent="0.25">
      <c r="A12" s="125" t="s">
        <v>500</v>
      </c>
      <c r="B12" s="58"/>
      <c r="C12" s="58"/>
      <c r="D12" s="58"/>
      <c r="E12" s="58"/>
      <c r="F12" s="58"/>
    </row>
    <row r="13" spans="1:7" ht="14.25" x14ac:dyDescent="0.45">
      <c r="A13" s="125" t="s">
        <v>501</v>
      </c>
      <c r="B13" s="58"/>
      <c r="C13" s="58"/>
      <c r="D13" s="58"/>
      <c r="E13" s="58"/>
      <c r="F13" s="58"/>
    </row>
    <row r="14" spans="1:7" ht="14.25" x14ac:dyDescent="0.45">
      <c r="A14" s="123" t="s">
        <v>502</v>
      </c>
      <c r="B14" s="58"/>
      <c r="C14" s="58"/>
      <c r="D14" s="58"/>
      <c r="E14" s="58"/>
      <c r="F14" s="58"/>
    </row>
    <row r="15" spans="1:7" x14ac:dyDescent="0.25">
      <c r="A15" s="125" t="s">
        <v>499</v>
      </c>
      <c r="B15" s="58"/>
      <c r="C15" s="58"/>
      <c r="D15" s="58"/>
      <c r="E15" s="58"/>
      <c r="F15" s="58"/>
    </row>
    <row r="16" spans="1:7" x14ac:dyDescent="0.25">
      <c r="A16" s="125" t="s">
        <v>500</v>
      </c>
      <c r="B16" s="58"/>
      <c r="C16" s="58"/>
      <c r="D16" s="58"/>
      <c r="E16" s="58"/>
      <c r="F16" s="58"/>
    </row>
    <row r="17" spans="1:6" ht="14.25" x14ac:dyDescent="0.45">
      <c r="A17" s="125" t="s">
        <v>501</v>
      </c>
      <c r="B17" s="58"/>
      <c r="C17" s="58"/>
      <c r="D17" s="58"/>
      <c r="E17" s="58"/>
      <c r="F17" s="58"/>
    </row>
    <row r="18" spans="1:6" ht="14.25" x14ac:dyDescent="0.45">
      <c r="A18" s="123" t="s">
        <v>503</v>
      </c>
      <c r="B18" s="130"/>
      <c r="C18" s="58"/>
      <c r="D18" s="58"/>
      <c r="E18" s="58"/>
      <c r="F18" s="58"/>
    </row>
    <row r="19" spans="1:6" x14ac:dyDescent="0.25">
      <c r="A19" s="123" t="s">
        <v>504</v>
      </c>
      <c r="B19" s="58"/>
      <c r="C19" s="58"/>
      <c r="D19" s="58"/>
      <c r="E19" s="58"/>
      <c r="F19" s="58"/>
    </row>
    <row r="20" spans="1:6" x14ac:dyDescent="0.25">
      <c r="A20" s="123" t="s">
        <v>505</v>
      </c>
      <c r="B20" s="131"/>
      <c r="C20" s="131"/>
      <c r="D20" s="131"/>
      <c r="E20" s="131"/>
      <c r="F20" s="131"/>
    </row>
    <row r="21" spans="1:6" x14ac:dyDescent="0.25">
      <c r="A21" s="123" t="s">
        <v>506</v>
      </c>
      <c r="B21" s="131"/>
      <c r="C21" s="131"/>
      <c r="D21" s="131"/>
      <c r="E21" s="131"/>
      <c r="F21" s="131"/>
    </row>
    <row r="22" spans="1:6" ht="14.25" x14ac:dyDescent="0.45">
      <c r="A22" s="62" t="s">
        <v>507</v>
      </c>
      <c r="B22" s="131"/>
      <c r="C22" s="131"/>
      <c r="D22" s="131"/>
      <c r="E22" s="131"/>
      <c r="F22" s="131"/>
    </row>
    <row r="23" spans="1:6" ht="14.25" x14ac:dyDescent="0.45">
      <c r="A23" s="62" t="s">
        <v>508</v>
      </c>
      <c r="B23" s="131"/>
      <c r="C23" s="131"/>
      <c r="D23" s="131"/>
      <c r="E23" s="131"/>
      <c r="F23" s="131"/>
    </row>
    <row r="24" spans="1:6" x14ac:dyDescent="0.25">
      <c r="A24" s="62" t="s">
        <v>509</v>
      </c>
      <c r="B24" s="132"/>
      <c r="C24" s="58"/>
      <c r="D24" s="58"/>
      <c r="E24" s="58"/>
      <c r="F24" s="58"/>
    </row>
    <row r="25" spans="1:6" ht="14.25" x14ac:dyDescent="0.45">
      <c r="A25" s="123" t="s">
        <v>510</v>
      </c>
      <c r="B25" s="132"/>
      <c r="C25" s="58"/>
      <c r="D25" s="58"/>
      <c r="E25" s="58"/>
      <c r="F25" s="58"/>
    </row>
    <row r="26" spans="1:6" ht="14.25" x14ac:dyDescent="0.45">
      <c r="A26" s="124"/>
      <c r="B26" s="52"/>
      <c r="C26" s="52"/>
      <c r="D26" s="52"/>
      <c r="E26" s="52"/>
      <c r="F26" s="52"/>
    </row>
    <row r="27" spans="1:6" ht="14.25" x14ac:dyDescent="0.45">
      <c r="A27" s="122" t="s">
        <v>511</v>
      </c>
      <c r="B27" s="52"/>
      <c r="C27" s="52"/>
      <c r="D27" s="52"/>
      <c r="E27" s="52"/>
      <c r="F27" s="52"/>
    </row>
    <row r="28" spans="1:6" ht="14.25" x14ac:dyDescent="0.45">
      <c r="A28" s="123" t="s">
        <v>512</v>
      </c>
      <c r="B28" s="58"/>
      <c r="C28" s="58"/>
      <c r="D28" s="58"/>
      <c r="E28" s="58"/>
      <c r="F28" s="58"/>
    </row>
    <row r="29" spans="1:6" ht="14.25" x14ac:dyDescent="0.45">
      <c r="A29" s="124"/>
      <c r="B29" s="52"/>
      <c r="C29" s="52"/>
      <c r="D29" s="52"/>
      <c r="E29" s="52"/>
      <c r="F29" s="52"/>
    </row>
    <row r="30" spans="1:6" x14ac:dyDescent="0.25">
      <c r="A30" s="122" t="s">
        <v>513</v>
      </c>
      <c r="B30" s="52"/>
      <c r="C30" s="52"/>
      <c r="D30" s="52"/>
      <c r="E30" s="52"/>
      <c r="F30" s="52"/>
    </row>
    <row r="31" spans="1:6" ht="14.25" x14ac:dyDescent="0.45">
      <c r="A31" s="123" t="s">
        <v>498</v>
      </c>
      <c r="B31" s="58"/>
      <c r="C31" s="58"/>
      <c r="D31" s="58"/>
      <c r="E31" s="58"/>
      <c r="F31" s="58"/>
    </row>
    <row r="32" spans="1:6" ht="14.25" x14ac:dyDescent="0.45">
      <c r="A32" s="123" t="s">
        <v>502</v>
      </c>
      <c r="B32" s="58"/>
      <c r="C32" s="58"/>
      <c r="D32" s="58"/>
      <c r="E32" s="58"/>
      <c r="F32" s="58"/>
    </row>
    <row r="33" spans="1:6" ht="14.25" x14ac:dyDescent="0.45">
      <c r="A33" s="123" t="s">
        <v>514</v>
      </c>
      <c r="B33" s="58"/>
      <c r="C33" s="58"/>
      <c r="D33" s="58"/>
      <c r="E33" s="58"/>
      <c r="F33" s="58"/>
    </row>
    <row r="34" spans="1:6" ht="14.25" x14ac:dyDescent="0.45">
      <c r="A34" s="124"/>
      <c r="B34" s="52"/>
      <c r="C34" s="52"/>
      <c r="D34" s="52"/>
      <c r="E34" s="52"/>
      <c r="F34" s="52"/>
    </row>
    <row r="35" spans="1:6" x14ac:dyDescent="0.25">
      <c r="A35" s="122" t="s">
        <v>515</v>
      </c>
      <c r="B35" s="52"/>
      <c r="C35" s="52"/>
      <c r="D35" s="52"/>
      <c r="E35" s="52"/>
      <c r="F35" s="52"/>
    </row>
    <row r="36" spans="1:6" x14ac:dyDescent="0.25">
      <c r="A36" s="123" t="s">
        <v>516</v>
      </c>
      <c r="B36" s="58"/>
      <c r="C36" s="58"/>
      <c r="D36" s="58"/>
      <c r="E36" s="58"/>
      <c r="F36" s="58"/>
    </row>
    <row r="37" spans="1:6" x14ac:dyDescent="0.25">
      <c r="A37" s="123" t="s">
        <v>517</v>
      </c>
      <c r="B37" s="58"/>
      <c r="C37" s="58"/>
      <c r="D37" s="58"/>
      <c r="E37" s="58"/>
      <c r="F37" s="58"/>
    </row>
    <row r="38" spans="1:6" ht="14.25" x14ac:dyDescent="0.45">
      <c r="A38" s="123" t="s">
        <v>518</v>
      </c>
      <c r="B38" s="132"/>
      <c r="C38" s="58"/>
      <c r="D38" s="58"/>
      <c r="E38" s="58"/>
      <c r="F38" s="58"/>
    </row>
    <row r="39" spans="1:6" ht="14.25" x14ac:dyDescent="0.45">
      <c r="A39" s="124"/>
      <c r="B39" s="52"/>
      <c r="C39" s="52"/>
      <c r="D39" s="52"/>
      <c r="E39" s="52"/>
      <c r="F39" s="52"/>
    </row>
    <row r="40" spans="1:6" ht="14.25" x14ac:dyDescent="0.45">
      <c r="A40" s="122" t="s">
        <v>519</v>
      </c>
      <c r="B40" s="58"/>
      <c r="C40" s="58"/>
      <c r="D40" s="58"/>
      <c r="E40" s="58"/>
      <c r="F40" s="58"/>
    </row>
    <row r="41" spans="1:6" ht="14.25" x14ac:dyDescent="0.45">
      <c r="A41" s="124"/>
      <c r="B41" s="52"/>
      <c r="C41" s="52"/>
      <c r="D41" s="52"/>
      <c r="E41" s="52"/>
      <c r="F41" s="52"/>
    </row>
    <row r="42" spans="1:6" ht="14.25" x14ac:dyDescent="0.45">
      <c r="A42" s="122" t="s">
        <v>520</v>
      </c>
      <c r="B42" s="52"/>
      <c r="C42" s="52"/>
      <c r="D42" s="52"/>
      <c r="E42" s="52"/>
      <c r="F42" s="52"/>
    </row>
    <row r="43" spans="1:6" ht="14.25" x14ac:dyDescent="0.45">
      <c r="A43" s="123" t="s">
        <v>521</v>
      </c>
      <c r="B43" s="58"/>
      <c r="C43" s="58"/>
      <c r="D43" s="58"/>
      <c r="E43" s="58"/>
      <c r="F43" s="58"/>
    </row>
    <row r="44" spans="1:6" x14ac:dyDescent="0.25">
      <c r="A44" s="123" t="s">
        <v>522</v>
      </c>
      <c r="B44" s="58"/>
      <c r="C44" s="58"/>
      <c r="D44" s="58"/>
      <c r="E44" s="58"/>
      <c r="F44" s="58"/>
    </row>
    <row r="45" spans="1:6" ht="14.25" x14ac:dyDescent="0.45">
      <c r="A45" s="123" t="s">
        <v>523</v>
      </c>
      <c r="B45" s="58"/>
      <c r="C45" s="58"/>
      <c r="D45" s="58"/>
      <c r="E45" s="58"/>
      <c r="F45" s="58"/>
    </row>
    <row r="46" spans="1:6" ht="14.25" x14ac:dyDescent="0.45">
      <c r="A46" s="124"/>
      <c r="B46" s="52"/>
      <c r="C46" s="52"/>
      <c r="D46" s="52"/>
      <c r="E46" s="52"/>
      <c r="F46" s="52"/>
    </row>
    <row r="47" spans="1:6" ht="30" x14ac:dyDescent="0.25">
      <c r="A47" s="122" t="s">
        <v>524</v>
      </c>
      <c r="B47" s="52"/>
      <c r="C47" s="52"/>
      <c r="D47" s="52"/>
      <c r="E47" s="52"/>
      <c r="F47" s="52"/>
    </row>
    <row r="48" spans="1:6" x14ac:dyDescent="0.25">
      <c r="A48" s="62" t="s">
        <v>522</v>
      </c>
      <c r="B48" s="131"/>
      <c r="C48" s="131"/>
      <c r="D48" s="131"/>
      <c r="E48" s="131"/>
      <c r="F48" s="131"/>
    </row>
    <row r="49" spans="1:6" x14ac:dyDescent="0.25">
      <c r="A49" s="62" t="s">
        <v>523</v>
      </c>
      <c r="B49" s="131"/>
      <c r="C49" s="131"/>
      <c r="D49" s="131"/>
      <c r="E49" s="131"/>
      <c r="F49" s="131"/>
    </row>
    <row r="50" spans="1:6" x14ac:dyDescent="0.25">
      <c r="A50" s="124"/>
      <c r="B50" s="52"/>
      <c r="C50" s="52"/>
      <c r="D50" s="52"/>
      <c r="E50" s="52"/>
      <c r="F50" s="52"/>
    </row>
    <row r="51" spans="1:6" x14ac:dyDescent="0.25">
      <c r="A51" s="122" t="s">
        <v>525</v>
      </c>
      <c r="B51" s="52"/>
      <c r="C51" s="52"/>
      <c r="D51" s="52"/>
      <c r="E51" s="52"/>
      <c r="F51" s="52"/>
    </row>
    <row r="52" spans="1:6" x14ac:dyDescent="0.25">
      <c r="A52" s="123" t="s">
        <v>522</v>
      </c>
      <c r="B52" s="58"/>
      <c r="C52" s="58"/>
      <c r="D52" s="58"/>
      <c r="E52" s="58"/>
      <c r="F52" s="58"/>
    </row>
    <row r="53" spans="1:6" x14ac:dyDescent="0.25">
      <c r="A53" s="123" t="s">
        <v>523</v>
      </c>
      <c r="B53" s="58"/>
      <c r="C53" s="58"/>
      <c r="D53" s="58"/>
      <c r="E53" s="58"/>
      <c r="F53" s="58"/>
    </row>
    <row r="54" spans="1:6" x14ac:dyDescent="0.25">
      <c r="A54" s="123" t="s">
        <v>526</v>
      </c>
      <c r="B54" s="58"/>
      <c r="C54" s="58"/>
      <c r="D54" s="58"/>
      <c r="E54" s="58"/>
      <c r="F54" s="58"/>
    </row>
    <row r="55" spans="1:6" x14ac:dyDescent="0.25">
      <c r="A55" s="124"/>
      <c r="B55" s="52"/>
      <c r="C55" s="52"/>
      <c r="D55" s="52"/>
      <c r="E55" s="52"/>
      <c r="F55" s="52"/>
    </row>
    <row r="56" spans="1:6" x14ac:dyDescent="0.25">
      <c r="A56" s="122" t="s">
        <v>527</v>
      </c>
      <c r="B56" s="52"/>
      <c r="C56" s="52"/>
      <c r="D56" s="52"/>
      <c r="E56" s="52"/>
      <c r="F56" s="52"/>
    </row>
    <row r="57" spans="1:6" x14ac:dyDescent="0.25">
      <c r="A57" s="123" t="s">
        <v>522</v>
      </c>
      <c r="B57" s="58"/>
      <c r="C57" s="58"/>
      <c r="D57" s="58"/>
      <c r="E57" s="58"/>
      <c r="F57" s="58"/>
    </row>
    <row r="58" spans="1:6" x14ac:dyDescent="0.25">
      <c r="A58" s="123" t="s">
        <v>523</v>
      </c>
      <c r="B58" s="58"/>
      <c r="C58" s="58"/>
      <c r="D58" s="58"/>
      <c r="E58" s="58"/>
      <c r="F58" s="58"/>
    </row>
    <row r="59" spans="1:6" x14ac:dyDescent="0.25">
      <c r="A59" s="124"/>
      <c r="B59" s="52"/>
      <c r="C59" s="52"/>
      <c r="D59" s="52"/>
      <c r="E59" s="52"/>
      <c r="F59" s="52"/>
    </row>
    <row r="60" spans="1:6" x14ac:dyDescent="0.25">
      <c r="A60" s="122" t="s">
        <v>528</v>
      </c>
      <c r="B60" s="52"/>
      <c r="C60" s="52"/>
      <c r="D60" s="52"/>
      <c r="E60" s="52"/>
      <c r="F60" s="52"/>
    </row>
    <row r="61" spans="1:6" x14ac:dyDescent="0.25">
      <c r="A61" s="123" t="s">
        <v>529</v>
      </c>
      <c r="B61" s="58"/>
      <c r="C61" s="58"/>
      <c r="D61" s="58"/>
      <c r="E61" s="58"/>
      <c r="F61" s="58"/>
    </row>
    <row r="62" spans="1:6" x14ac:dyDescent="0.25">
      <c r="A62" s="123" t="s">
        <v>530</v>
      </c>
      <c r="B62" s="132"/>
      <c r="C62" s="58"/>
      <c r="D62" s="58"/>
      <c r="E62" s="58"/>
      <c r="F62" s="58"/>
    </row>
    <row r="63" spans="1:6" x14ac:dyDescent="0.25">
      <c r="A63" s="124"/>
      <c r="B63" s="52"/>
      <c r="C63" s="52"/>
      <c r="D63" s="52"/>
      <c r="E63" s="52"/>
      <c r="F63" s="52"/>
    </row>
    <row r="64" spans="1:6" x14ac:dyDescent="0.25">
      <c r="A64" s="122" t="s">
        <v>531</v>
      </c>
      <c r="B64" s="52"/>
      <c r="C64" s="52"/>
      <c r="D64" s="52"/>
      <c r="E64" s="52"/>
      <c r="F64" s="52"/>
    </row>
    <row r="65" spans="1:6" x14ac:dyDescent="0.25">
      <c r="A65" s="123" t="s">
        <v>532</v>
      </c>
      <c r="B65" s="58"/>
      <c r="C65" s="58"/>
      <c r="D65" s="58"/>
      <c r="E65" s="58"/>
      <c r="F65" s="58"/>
    </row>
    <row r="66" spans="1:6" x14ac:dyDescent="0.25">
      <c r="A66" s="123" t="s">
        <v>533</v>
      </c>
      <c r="B66" s="58"/>
      <c r="C66" s="58"/>
      <c r="D66" s="58"/>
      <c r="E66" s="58"/>
      <c r="F66" s="58"/>
    </row>
    <row r="67" spans="1:6" x14ac:dyDescent="0.25">
      <c r="A67" s="128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F17283"/>
  <sheetViews>
    <sheetView showGridLines="0" tabSelected="1" zoomScale="90" zoomScaleNormal="90" workbookViewId="0">
      <selection activeCell="D17" sqref="D1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9" customFormat="1" ht="37.5" customHeight="1" x14ac:dyDescent="0.25">
      <c r="A1" s="154" t="s">
        <v>537</v>
      </c>
      <c r="B1" s="154"/>
      <c r="C1" s="154"/>
      <c r="D1" s="154"/>
      <c r="E1" s="154"/>
      <c r="F1" s="154"/>
    </row>
    <row r="2" spans="1:6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4"/>
    </row>
    <row r="3" spans="1:6" x14ac:dyDescent="0.25">
      <c r="A3" s="145" t="s">
        <v>117</v>
      </c>
      <c r="B3" s="146"/>
      <c r="C3" s="146"/>
      <c r="D3" s="146"/>
      <c r="E3" s="146"/>
      <c r="F3" s="147"/>
    </row>
    <row r="4" spans="1:6" ht="14.25" x14ac:dyDescent="0.45">
      <c r="A4" s="148" t="str">
        <f>PERIODO_INFORME</f>
        <v>Al 31 de diciembre de 2019 y al 30 de marzo de 2020 (b)</v>
      </c>
      <c r="B4" s="149"/>
      <c r="C4" s="149"/>
      <c r="D4" s="149"/>
      <c r="E4" s="149"/>
      <c r="F4" s="150"/>
    </row>
    <row r="5" spans="1:6" ht="14.25" x14ac:dyDescent="0.45">
      <c r="A5" s="151" t="s">
        <v>118</v>
      </c>
      <c r="B5" s="152"/>
      <c r="C5" s="152"/>
      <c r="D5" s="152"/>
      <c r="E5" s="152"/>
      <c r="F5" s="153"/>
    </row>
    <row r="6" spans="1:6" s="3" customFormat="1" ht="28.5" x14ac:dyDescent="0.45">
      <c r="A6" s="119" t="s">
        <v>3276</v>
      </c>
      <c r="B6" s="120" t="str">
        <f>ANIO</f>
        <v>2020 (d)</v>
      </c>
      <c r="C6" s="117" t="str">
        <f>ULTIMO</f>
        <v>31 de diciembre de 2019 (e)</v>
      </c>
      <c r="D6" s="121" t="s">
        <v>0</v>
      </c>
      <c r="E6" s="120" t="str">
        <f>ANIO</f>
        <v>2020 (d)</v>
      </c>
      <c r="F6" s="117" t="str">
        <f>ULTIMO</f>
        <v>31 de diciembre de 2019 (e)</v>
      </c>
    </row>
    <row r="7" spans="1:6" ht="14.25" x14ac:dyDescent="0.45">
      <c r="A7" s="83" t="s">
        <v>1</v>
      </c>
      <c r="B7" s="76"/>
      <c r="C7" s="76"/>
      <c r="D7" s="87" t="s">
        <v>52</v>
      </c>
      <c r="E7" s="76"/>
      <c r="F7" s="76"/>
    </row>
    <row r="8" spans="1:6" ht="14.25" x14ac:dyDescent="0.45">
      <c r="A8" s="37" t="s">
        <v>2</v>
      </c>
      <c r="B8" s="52"/>
      <c r="C8" s="52"/>
      <c r="D8" s="88" t="s">
        <v>53</v>
      </c>
      <c r="E8" s="52"/>
      <c r="F8" s="52"/>
    </row>
    <row r="9" spans="1:6" x14ac:dyDescent="0.25">
      <c r="A9" s="84" t="s">
        <v>3</v>
      </c>
      <c r="B9" s="134">
        <f>SUM(B10:B16)</f>
        <v>70193333.060000002</v>
      </c>
      <c r="C9" s="134">
        <f>SUM(C10:C16)</f>
        <v>31175535.160000004</v>
      </c>
      <c r="D9" s="89" t="s">
        <v>54</v>
      </c>
      <c r="E9" s="134">
        <f>SUM(E10:E18)</f>
        <v>13739805.309999999</v>
      </c>
      <c r="F9" s="134">
        <f>SUM(F10:F18)</f>
        <v>50679564.039999992</v>
      </c>
    </row>
    <row r="10" spans="1:6" x14ac:dyDescent="0.25">
      <c r="A10" s="85" t="s">
        <v>4</v>
      </c>
      <c r="B10" s="135">
        <v>0</v>
      </c>
      <c r="C10" s="135">
        <v>0</v>
      </c>
      <c r="D10" s="90" t="s">
        <v>55</v>
      </c>
      <c r="E10" s="135">
        <v>34729.760000000002</v>
      </c>
      <c r="F10" s="135">
        <v>46474.45</v>
      </c>
    </row>
    <row r="11" spans="1:6" x14ac:dyDescent="0.25">
      <c r="A11" s="85" t="s">
        <v>5</v>
      </c>
      <c r="B11" s="135">
        <v>51919375.960000001</v>
      </c>
      <c r="C11" s="135">
        <v>9670699.4199999999</v>
      </c>
      <c r="D11" s="90" t="s">
        <v>56</v>
      </c>
      <c r="E11" s="135">
        <v>6949311.25</v>
      </c>
      <c r="F11" s="135">
        <v>32949000.43</v>
      </c>
    </row>
    <row r="12" spans="1:6" x14ac:dyDescent="0.25">
      <c r="A12" s="85" t="s">
        <v>6</v>
      </c>
      <c r="B12" s="135">
        <v>0</v>
      </c>
      <c r="C12" s="135">
        <v>0</v>
      </c>
      <c r="D12" s="90" t="s">
        <v>57</v>
      </c>
      <c r="E12" s="135">
        <v>412660.47999999998</v>
      </c>
      <c r="F12" s="135">
        <v>11030513.34</v>
      </c>
    </row>
    <row r="13" spans="1:6" x14ac:dyDescent="0.25">
      <c r="A13" s="85" t="s">
        <v>7</v>
      </c>
      <c r="B13" s="135">
        <v>18410977.280000001</v>
      </c>
      <c r="C13" s="135">
        <v>20675771.780000001</v>
      </c>
      <c r="D13" s="90" t="s">
        <v>58</v>
      </c>
      <c r="E13" s="135">
        <v>0</v>
      </c>
      <c r="F13" s="135">
        <v>0</v>
      </c>
    </row>
    <row r="14" spans="1:6" x14ac:dyDescent="0.25">
      <c r="A14" s="85" t="s">
        <v>8</v>
      </c>
      <c r="B14" s="135">
        <v>-137020.18</v>
      </c>
      <c r="C14" s="135">
        <v>829063.96</v>
      </c>
      <c r="D14" s="90" t="s">
        <v>59</v>
      </c>
      <c r="E14" s="135">
        <v>0</v>
      </c>
      <c r="F14" s="135">
        <v>780825.47</v>
      </c>
    </row>
    <row r="15" spans="1:6" x14ac:dyDescent="0.25">
      <c r="A15" s="85" t="s">
        <v>9</v>
      </c>
      <c r="B15" s="135">
        <v>0</v>
      </c>
      <c r="C15" s="135">
        <v>0</v>
      </c>
      <c r="D15" s="90" t="s">
        <v>60</v>
      </c>
      <c r="E15" s="135">
        <v>0</v>
      </c>
      <c r="F15" s="135">
        <v>0</v>
      </c>
    </row>
    <row r="16" spans="1:6" x14ac:dyDescent="0.25">
      <c r="A16" s="85" t="s">
        <v>10</v>
      </c>
      <c r="B16" s="135">
        <v>0</v>
      </c>
      <c r="C16" s="135">
        <v>0</v>
      </c>
      <c r="D16" s="90" t="s">
        <v>61</v>
      </c>
      <c r="E16" s="135">
        <v>800952.94</v>
      </c>
      <c r="F16" s="135">
        <v>438193.94</v>
      </c>
    </row>
    <row r="17" spans="1:6" x14ac:dyDescent="0.25">
      <c r="A17" s="84" t="s">
        <v>11</v>
      </c>
      <c r="B17" s="134">
        <f>SUM(B18:B24)</f>
        <v>8436528.4800000004</v>
      </c>
      <c r="C17" s="134">
        <f>SUM(C18:C24)</f>
        <v>725259.4</v>
      </c>
      <c r="D17" s="90" t="s">
        <v>62</v>
      </c>
      <c r="E17" s="135">
        <v>5487.84</v>
      </c>
      <c r="F17" s="135">
        <v>0</v>
      </c>
    </row>
    <row r="18" spans="1:6" x14ac:dyDescent="0.25">
      <c r="A18" s="86" t="s">
        <v>12</v>
      </c>
      <c r="B18" s="135">
        <v>0</v>
      </c>
      <c r="C18" s="135">
        <v>0</v>
      </c>
      <c r="D18" s="90" t="s">
        <v>63</v>
      </c>
      <c r="E18" s="135">
        <v>5536663.04</v>
      </c>
      <c r="F18" s="135">
        <v>5434556.4100000001</v>
      </c>
    </row>
    <row r="19" spans="1:6" x14ac:dyDescent="0.25">
      <c r="A19" s="86" t="s">
        <v>13</v>
      </c>
      <c r="B19" s="135">
        <v>0</v>
      </c>
      <c r="C19" s="135">
        <v>2448.08</v>
      </c>
      <c r="D19" s="89" t="s">
        <v>64</v>
      </c>
      <c r="E19" s="134">
        <v>0</v>
      </c>
      <c r="F19" s="134">
        <v>0</v>
      </c>
    </row>
    <row r="20" spans="1:6" x14ac:dyDescent="0.25">
      <c r="A20" s="86" t="s">
        <v>14</v>
      </c>
      <c r="B20" s="135">
        <v>1239493.79</v>
      </c>
      <c r="C20" s="135">
        <v>119272.62</v>
      </c>
      <c r="D20" s="90" t="s">
        <v>65</v>
      </c>
      <c r="E20" s="135">
        <v>0</v>
      </c>
      <c r="F20" s="135">
        <v>0</v>
      </c>
    </row>
    <row r="21" spans="1:6" x14ac:dyDescent="0.25">
      <c r="A21" s="86" t="s">
        <v>15</v>
      </c>
      <c r="B21" s="135">
        <v>0</v>
      </c>
      <c r="C21" s="135">
        <v>0</v>
      </c>
      <c r="D21" s="90" t="s">
        <v>66</v>
      </c>
      <c r="E21" s="135">
        <v>0</v>
      </c>
      <c r="F21" s="135">
        <v>0</v>
      </c>
    </row>
    <row r="22" spans="1:6" x14ac:dyDescent="0.25">
      <c r="A22" s="86" t="s">
        <v>16</v>
      </c>
      <c r="B22" s="135">
        <v>396500</v>
      </c>
      <c r="C22" s="135">
        <v>107877.06</v>
      </c>
      <c r="D22" s="90" t="s">
        <v>67</v>
      </c>
      <c r="E22" s="135">
        <v>0</v>
      </c>
      <c r="F22" s="135">
        <v>0</v>
      </c>
    </row>
    <row r="23" spans="1:6" x14ac:dyDescent="0.25">
      <c r="A23" s="86" t="s">
        <v>17</v>
      </c>
      <c r="B23" s="135">
        <v>0</v>
      </c>
      <c r="C23" s="135">
        <v>0</v>
      </c>
      <c r="D23" s="89" t="s">
        <v>68</v>
      </c>
      <c r="E23" s="134">
        <v>24608000</v>
      </c>
      <c r="F23" s="134">
        <v>0</v>
      </c>
    </row>
    <row r="24" spans="1:6" x14ac:dyDescent="0.25">
      <c r="A24" s="86" t="s">
        <v>18</v>
      </c>
      <c r="B24" s="135">
        <v>6800534.6900000004</v>
      </c>
      <c r="C24" s="135">
        <v>495661.64</v>
      </c>
      <c r="D24" s="90" t="s">
        <v>69</v>
      </c>
      <c r="E24" s="135">
        <v>24608000</v>
      </c>
      <c r="F24" s="135">
        <v>0</v>
      </c>
    </row>
    <row r="25" spans="1:6" x14ac:dyDescent="0.25">
      <c r="A25" s="84" t="s">
        <v>19</v>
      </c>
      <c r="B25" s="134">
        <f>SUM(B26:B30)</f>
        <v>4428329.0299999993</v>
      </c>
      <c r="C25" s="134">
        <f>SUM(C26:C30)</f>
        <v>20402984.520000003</v>
      </c>
      <c r="D25" s="90" t="s">
        <v>70</v>
      </c>
      <c r="E25" s="135">
        <v>0</v>
      </c>
      <c r="F25" s="135">
        <v>0</v>
      </c>
    </row>
    <row r="26" spans="1:6" x14ac:dyDescent="0.25">
      <c r="A26" s="86" t="s">
        <v>20</v>
      </c>
      <c r="B26" s="135">
        <v>1984377.92</v>
      </c>
      <c r="C26" s="135">
        <v>2102898.5099999998</v>
      </c>
      <c r="D26" s="89" t="s">
        <v>71</v>
      </c>
      <c r="E26" s="134">
        <v>0</v>
      </c>
      <c r="F26" s="134">
        <v>0</v>
      </c>
    </row>
    <row r="27" spans="1:6" x14ac:dyDescent="0.25">
      <c r="A27" s="86" t="s">
        <v>21</v>
      </c>
      <c r="B27" s="135">
        <v>0</v>
      </c>
      <c r="C27" s="135">
        <v>0</v>
      </c>
      <c r="D27" s="89" t="s">
        <v>72</v>
      </c>
      <c r="E27" s="134">
        <f>SUM(E28:E30)</f>
        <v>0</v>
      </c>
      <c r="F27" s="134">
        <f>SUM(F28:F30)</f>
        <v>29000000</v>
      </c>
    </row>
    <row r="28" spans="1:6" x14ac:dyDescent="0.25">
      <c r="A28" s="86" t="s">
        <v>22</v>
      </c>
      <c r="B28" s="135">
        <v>0</v>
      </c>
      <c r="C28" s="135">
        <v>0</v>
      </c>
      <c r="D28" s="90" t="s">
        <v>73</v>
      </c>
      <c r="E28" s="135">
        <v>0</v>
      </c>
      <c r="F28" s="135">
        <v>0</v>
      </c>
    </row>
    <row r="29" spans="1:6" x14ac:dyDescent="0.25">
      <c r="A29" s="86" t="s">
        <v>23</v>
      </c>
      <c r="B29" s="135">
        <v>2443951.11</v>
      </c>
      <c r="C29" s="135">
        <v>18300086.010000002</v>
      </c>
      <c r="D29" s="90" t="s">
        <v>74</v>
      </c>
      <c r="E29" s="135">
        <v>0</v>
      </c>
      <c r="F29" s="135">
        <v>0</v>
      </c>
    </row>
    <row r="30" spans="1:6" x14ac:dyDescent="0.25">
      <c r="A30" s="86" t="s">
        <v>24</v>
      </c>
      <c r="B30" s="135">
        <v>0</v>
      </c>
      <c r="C30" s="135">
        <v>0</v>
      </c>
      <c r="D30" s="90" t="s">
        <v>75</v>
      </c>
      <c r="E30" s="135">
        <v>0</v>
      </c>
      <c r="F30" s="135">
        <v>29000000</v>
      </c>
    </row>
    <row r="31" spans="1:6" x14ac:dyDescent="0.25">
      <c r="A31" s="84" t="s">
        <v>25</v>
      </c>
      <c r="B31" s="134">
        <f>SUM(B32:B36)</f>
        <v>0</v>
      </c>
      <c r="C31" s="134">
        <f>SUM(C32:C36)</f>
        <v>0</v>
      </c>
      <c r="D31" s="89" t="s">
        <v>76</v>
      </c>
      <c r="E31" s="134">
        <f>SUM(E32:E37)</f>
        <v>0</v>
      </c>
      <c r="F31" s="134">
        <f>SUM(F32:F37)</f>
        <v>0</v>
      </c>
    </row>
    <row r="32" spans="1:6" x14ac:dyDescent="0.25">
      <c r="A32" s="86" t="s">
        <v>26</v>
      </c>
      <c r="B32" s="135">
        <v>0</v>
      </c>
      <c r="C32" s="135">
        <v>0</v>
      </c>
      <c r="D32" s="90" t="s">
        <v>77</v>
      </c>
      <c r="E32" s="135">
        <v>0</v>
      </c>
      <c r="F32" s="135">
        <v>0</v>
      </c>
    </row>
    <row r="33" spans="1:6" x14ac:dyDescent="0.25">
      <c r="A33" s="86" t="s">
        <v>27</v>
      </c>
      <c r="B33" s="135">
        <v>0</v>
      </c>
      <c r="C33" s="135">
        <v>0</v>
      </c>
      <c r="D33" s="90" t="s">
        <v>78</v>
      </c>
      <c r="E33" s="135">
        <v>0</v>
      </c>
      <c r="F33" s="135">
        <v>0</v>
      </c>
    </row>
    <row r="34" spans="1:6" x14ac:dyDescent="0.25">
      <c r="A34" s="86" t="s">
        <v>28</v>
      </c>
      <c r="B34" s="135">
        <v>0</v>
      </c>
      <c r="C34" s="135">
        <v>0</v>
      </c>
      <c r="D34" s="90" t="s">
        <v>79</v>
      </c>
      <c r="E34" s="135">
        <v>0</v>
      </c>
      <c r="F34" s="135">
        <v>0</v>
      </c>
    </row>
    <row r="35" spans="1:6" x14ac:dyDescent="0.25">
      <c r="A35" s="86" t="s">
        <v>29</v>
      </c>
      <c r="B35" s="135">
        <v>0</v>
      </c>
      <c r="C35" s="135">
        <v>0</v>
      </c>
      <c r="D35" s="90" t="s">
        <v>80</v>
      </c>
      <c r="E35" s="135">
        <v>0</v>
      </c>
      <c r="F35" s="135">
        <v>0</v>
      </c>
    </row>
    <row r="36" spans="1:6" x14ac:dyDescent="0.25">
      <c r="A36" s="86" t="s">
        <v>30</v>
      </c>
      <c r="B36" s="135">
        <v>0</v>
      </c>
      <c r="C36" s="135">
        <v>0</v>
      </c>
      <c r="D36" s="90" t="s">
        <v>81</v>
      </c>
      <c r="E36" s="135">
        <v>0</v>
      </c>
      <c r="F36" s="135">
        <v>0</v>
      </c>
    </row>
    <row r="37" spans="1:6" x14ac:dyDescent="0.25">
      <c r="A37" s="84" t="s">
        <v>31</v>
      </c>
      <c r="B37" s="134">
        <v>0</v>
      </c>
      <c r="C37" s="134">
        <v>0</v>
      </c>
      <c r="D37" s="90" t="s">
        <v>82</v>
      </c>
      <c r="E37" s="135">
        <v>0</v>
      </c>
      <c r="F37" s="135">
        <v>0</v>
      </c>
    </row>
    <row r="38" spans="1:6" x14ac:dyDescent="0.25">
      <c r="A38" s="84" t="s">
        <v>119</v>
      </c>
      <c r="B38" s="134">
        <f>SUM(B39:B40)</f>
        <v>0</v>
      </c>
      <c r="C38" s="134">
        <f>SUM(C39:C40)</f>
        <v>0</v>
      </c>
      <c r="D38" s="89" t="s">
        <v>83</v>
      </c>
      <c r="E38" s="134">
        <f>SUM(E39:E41)</f>
        <v>0</v>
      </c>
      <c r="F38" s="134">
        <f>SUM(F39:F41)</f>
        <v>0</v>
      </c>
    </row>
    <row r="39" spans="1:6" x14ac:dyDescent="0.25">
      <c r="A39" s="86" t="s">
        <v>32</v>
      </c>
      <c r="B39" s="135">
        <v>0</v>
      </c>
      <c r="C39" s="135">
        <v>0</v>
      </c>
      <c r="D39" s="90" t="s">
        <v>84</v>
      </c>
      <c r="E39" s="135">
        <v>0</v>
      </c>
      <c r="F39" s="135">
        <v>0</v>
      </c>
    </row>
    <row r="40" spans="1:6" x14ac:dyDescent="0.25">
      <c r="A40" s="86" t="s">
        <v>33</v>
      </c>
      <c r="B40" s="135">
        <v>0</v>
      </c>
      <c r="C40" s="135">
        <v>0</v>
      </c>
      <c r="D40" s="90" t="s">
        <v>85</v>
      </c>
      <c r="E40" s="135">
        <v>0</v>
      </c>
      <c r="F40" s="135">
        <v>0</v>
      </c>
    </row>
    <row r="41" spans="1:6" x14ac:dyDescent="0.25">
      <c r="A41" s="84" t="s">
        <v>34</v>
      </c>
      <c r="B41" s="134">
        <f>SUM(B42:B45)</f>
        <v>771407.83</v>
      </c>
      <c r="C41" s="134">
        <f>SUM(C42:C45)</f>
        <v>500267.83</v>
      </c>
      <c r="D41" s="90" t="s">
        <v>86</v>
      </c>
      <c r="E41" s="135">
        <v>0</v>
      </c>
      <c r="F41" s="135">
        <v>0</v>
      </c>
    </row>
    <row r="42" spans="1:6" x14ac:dyDescent="0.25">
      <c r="A42" s="86" t="s">
        <v>35</v>
      </c>
      <c r="B42" s="135">
        <v>0</v>
      </c>
      <c r="C42" s="135">
        <v>0</v>
      </c>
      <c r="D42" s="89" t="s">
        <v>87</v>
      </c>
      <c r="E42" s="134">
        <f>SUM(E43:E45)</f>
        <v>453057</v>
      </c>
      <c r="F42" s="134">
        <f>SUM(F43:F45)</f>
        <v>36000</v>
      </c>
    </row>
    <row r="43" spans="1:6" x14ac:dyDescent="0.25">
      <c r="A43" s="86" t="s">
        <v>36</v>
      </c>
      <c r="B43" s="135">
        <v>771407.83</v>
      </c>
      <c r="C43" s="135">
        <v>500267.83</v>
      </c>
      <c r="D43" s="90" t="s">
        <v>88</v>
      </c>
      <c r="E43" s="135">
        <v>453057</v>
      </c>
      <c r="F43" s="135">
        <v>36000</v>
      </c>
    </row>
    <row r="44" spans="1:6" x14ac:dyDescent="0.25">
      <c r="A44" s="86" t="s">
        <v>37</v>
      </c>
      <c r="B44" s="135">
        <v>0</v>
      </c>
      <c r="C44" s="135">
        <v>0</v>
      </c>
      <c r="D44" s="90" t="s">
        <v>89</v>
      </c>
      <c r="E44" s="135">
        <v>0</v>
      </c>
      <c r="F44" s="135">
        <v>0</v>
      </c>
    </row>
    <row r="45" spans="1:6" x14ac:dyDescent="0.25">
      <c r="A45" s="86" t="s">
        <v>38</v>
      </c>
      <c r="B45" s="135">
        <v>0</v>
      </c>
      <c r="C45" s="135">
        <v>0</v>
      </c>
      <c r="D45" s="90" t="s">
        <v>90</v>
      </c>
      <c r="E45" s="135">
        <v>0</v>
      </c>
      <c r="F45" s="135">
        <v>0</v>
      </c>
    </row>
    <row r="46" spans="1:6" x14ac:dyDescent="0.25">
      <c r="A46" s="52"/>
      <c r="B46" s="52"/>
      <c r="C46" s="52"/>
      <c r="D46" s="52"/>
      <c r="E46" s="52"/>
      <c r="F46" s="52"/>
    </row>
    <row r="47" spans="1:6" x14ac:dyDescent="0.25">
      <c r="A47" s="53" t="s">
        <v>39</v>
      </c>
      <c r="B47" s="134">
        <f>B9+B17+B25+B31+B38+B41</f>
        <v>83829598.400000006</v>
      </c>
      <c r="C47" s="134">
        <f>C9+C17+C25+C31+C38+C41</f>
        <v>52804046.910000004</v>
      </c>
      <c r="D47" s="88" t="s">
        <v>91</v>
      </c>
      <c r="E47" s="134">
        <f>E9+E19+E23+E26+E27+E31+E38+E42</f>
        <v>38800862.310000002</v>
      </c>
      <c r="F47" s="134">
        <f>F9+F19+F23+F26+F27+F31+F38+F42</f>
        <v>79715564.039999992</v>
      </c>
    </row>
    <row r="48" spans="1:6" x14ac:dyDescent="0.25">
      <c r="A48" s="52"/>
      <c r="B48" s="52"/>
      <c r="C48" s="52"/>
      <c r="D48" s="52"/>
      <c r="E48" s="52"/>
      <c r="F48" s="52"/>
    </row>
    <row r="49" spans="1:6" x14ac:dyDescent="0.25">
      <c r="A49" s="37" t="s">
        <v>40</v>
      </c>
      <c r="B49" s="52"/>
      <c r="C49" s="52"/>
      <c r="D49" s="88" t="s">
        <v>92</v>
      </c>
      <c r="E49" s="52"/>
      <c r="F49" s="52"/>
    </row>
    <row r="50" spans="1:6" x14ac:dyDescent="0.25">
      <c r="A50" s="84" t="s">
        <v>41</v>
      </c>
      <c r="B50" s="135">
        <v>0</v>
      </c>
      <c r="C50" s="135">
        <v>0</v>
      </c>
      <c r="D50" s="89" t="s">
        <v>93</v>
      </c>
      <c r="E50" s="135">
        <v>0</v>
      </c>
      <c r="F50" s="135">
        <v>0</v>
      </c>
    </row>
    <row r="51" spans="1:6" x14ac:dyDescent="0.25">
      <c r="A51" s="84" t="s">
        <v>42</v>
      </c>
      <c r="B51" s="135">
        <v>0</v>
      </c>
      <c r="C51" s="135">
        <v>0</v>
      </c>
      <c r="D51" s="89" t="s">
        <v>94</v>
      </c>
      <c r="E51" s="135">
        <v>0</v>
      </c>
      <c r="F51" s="135">
        <v>0</v>
      </c>
    </row>
    <row r="52" spans="1:6" x14ac:dyDescent="0.25">
      <c r="A52" s="84" t="s">
        <v>43</v>
      </c>
      <c r="B52" s="135">
        <v>828675284.73000002</v>
      </c>
      <c r="C52" s="135">
        <v>800176793.25</v>
      </c>
      <c r="D52" s="89" t="s">
        <v>95</v>
      </c>
      <c r="E52" s="135">
        <v>10608160</v>
      </c>
      <c r="F52" s="135">
        <v>14352160</v>
      </c>
    </row>
    <row r="53" spans="1:6" x14ac:dyDescent="0.25">
      <c r="A53" s="84" t="s">
        <v>44</v>
      </c>
      <c r="B53" s="135">
        <v>108674999.58</v>
      </c>
      <c r="C53" s="135">
        <v>108097274.8</v>
      </c>
      <c r="D53" s="89" t="s">
        <v>96</v>
      </c>
      <c r="E53" s="135">
        <v>0</v>
      </c>
      <c r="F53" s="135">
        <v>0</v>
      </c>
    </row>
    <row r="54" spans="1:6" x14ac:dyDescent="0.25">
      <c r="A54" s="84" t="s">
        <v>45</v>
      </c>
      <c r="B54" s="135">
        <v>5780110.4199999999</v>
      </c>
      <c r="C54" s="135">
        <v>5780110.4199999999</v>
      </c>
      <c r="D54" s="89" t="s">
        <v>97</v>
      </c>
      <c r="E54" s="135">
        <v>0</v>
      </c>
      <c r="F54" s="135">
        <v>0</v>
      </c>
    </row>
    <row r="55" spans="1:6" x14ac:dyDescent="0.25">
      <c r="A55" s="84" t="s">
        <v>46</v>
      </c>
      <c r="B55" s="135">
        <v>-37586699.079999998</v>
      </c>
      <c r="C55" s="135">
        <v>-37586699.079999998</v>
      </c>
      <c r="D55" s="36" t="s">
        <v>98</v>
      </c>
      <c r="E55" s="135">
        <v>0</v>
      </c>
      <c r="F55" s="135">
        <v>0</v>
      </c>
    </row>
    <row r="56" spans="1:6" x14ac:dyDescent="0.25">
      <c r="A56" s="84" t="s">
        <v>47</v>
      </c>
      <c r="B56" s="135">
        <v>1449989.26</v>
      </c>
      <c r="C56" s="135">
        <v>1449989.26</v>
      </c>
      <c r="D56" s="52"/>
      <c r="E56" s="52"/>
      <c r="F56" s="52"/>
    </row>
    <row r="57" spans="1:6" x14ac:dyDescent="0.25">
      <c r="A57" s="84" t="s">
        <v>48</v>
      </c>
      <c r="B57" s="135">
        <v>0</v>
      </c>
      <c r="C57" s="135">
        <v>0</v>
      </c>
      <c r="D57" s="88" t="s">
        <v>99</v>
      </c>
      <c r="E57" s="134">
        <f>SUM(E50:E55)</f>
        <v>10608160</v>
      </c>
      <c r="F57" s="134">
        <f>SUM(F50:F55)</f>
        <v>14352160</v>
      </c>
    </row>
    <row r="58" spans="1:6" x14ac:dyDescent="0.25">
      <c r="A58" s="84" t="s">
        <v>49</v>
      </c>
      <c r="B58" s="135">
        <v>0</v>
      </c>
      <c r="C58" s="135">
        <v>0</v>
      </c>
      <c r="D58" s="52"/>
      <c r="E58" s="52"/>
      <c r="F58" s="52"/>
    </row>
    <row r="59" spans="1:6" x14ac:dyDescent="0.25">
      <c r="A59" s="52"/>
      <c r="B59" s="52"/>
      <c r="C59" s="52"/>
      <c r="D59" s="88" t="s">
        <v>100</v>
      </c>
      <c r="E59" s="134">
        <f>E47+E57</f>
        <v>49409022.310000002</v>
      </c>
      <c r="F59" s="134">
        <f>F47+F57</f>
        <v>94067724.039999992</v>
      </c>
    </row>
    <row r="60" spans="1:6" x14ac:dyDescent="0.25">
      <c r="A60" s="53" t="s">
        <v>50</v>
      </c>
      <c r="B60" s="134">
        <f>SUM(B50:B58)</f>
        <v>906993684.90999997</v>
      </c>
      <c r="C60" s="134">
        <f>SUM(C50:C58)</f>
        <v>877917468.64999986</v>
      </c>
      <c r="D60" s="52"/>
      <c r="E60" s="52"/>
      <c r="F60" s="52"/>
    </row>
    <row r="61" spans="1:6" x14ac:dyDescent="0.25">
      <c r="A61" s="52"/>
      <c r="B61" s="52"/>
      <c r="C61" s="52"/>
      <c r="D61" s="38" t="s">
        <v>101</v>
      </c>
      <c r="E61" s="82"/>
      <c r="F61" s="82"/>
    </row>
    <row r="62" spans="1:6" x14ac:dyDescent="0.25">
      <c r="A62" s="53" t="s">
        <v>51</v>
      </c>
      <c r="B62" s="134">
        <f>SUM(B47+B60)</f>
        <v>990823283.30999994</v>
      </c>
      <c r="C62" s="134">
        <f>SUM(C47+C60)</f>
        <v>930721515.55999982</v>
      </c>
      <c r="D62" s="52"/>
      <c r="E62" s="52"/>
      <c r="F62" s="52"/>
    </row>
    <row r="63" spans="1:6" x14ac:dyDescent="0.25">
      <c r="A63" s="52"/>
      <c r="B63" s="52"/>
      <c r="C63" s="52"/>
      <c r="D63" s="91" t="s">
        <v>102</v>
      </c>
      <c r="E63" s="134">
        <f>SUM(E64:E66)</f>
        <v>787622658.74000001</v>
      </c>
      <c r="F63" s="134">
        <f>SUM(F64:F66)</f>
        <v>787622658.74000001</v>
      </c>
    </row>
    <row r="64" spans="1:6" x14ac:dyDescent="0.25">
      <c r="A64" s="52"/>
      <c r="B64" s="52"/>
      <c r="C64" s="52"/>
      <c r="D64" s="92" t="s">
        <v>103</v>
      </c>
      <c r="E64" s="135">
        <v>786004034.75</v>
      </c>
      <c r="F64" s="135">
        <v>786004034.75</v>
      </c>
    </row>
    <row r="65" spans="1:6" x14ac:dyDescent="0.25">
      <c r="A65" s="52"/>
      <c r="B65" s="52"/>
      <c r="C65" s="52"/>
      <c r="D65" s="39" t="s">
        <v>104</v>
      </c>
      <c r="E65" s="135">
        <v>1618623.99</v>
      </c>
      <c r="F65" s="135">
        <v>1618623.99</v>
      </c>
    </row>
    <row r="66" spans="1:6" x14ac:dyDescent="0.25">
      <c r="A66" s="52"/>
      <c r="B66" s="52"/>
      <c r="C66" s="52"/>
      <c r="D66" s="92" t="s">
        <v>105</v>
      </c>
      <c r="E66" s="135">
        <v>0</v>
      </c>
      <c r="F66" s="135">
        <v>0</v>
      </c>
    </row>
    <row r="67" spans="1:6" x14ac:dyDescent="0.25">
      <c r="A67" s="52"/>
      <c r="B67" s="52"/>
      <c r="C67" s="52"/>
      <c r="D67" s="52"/>
      <c r="E67" s="52"/>
      <c r="F67" s="52"/>
    </row>
    <row r="68" spans="1:6" x14ac:dyDescent="0.25">
      <c r="A68" s="52"/>
      <c r="B68" s="52"/>
      <c r="C68" s="52"/>
      <c r="D68" s="91" t="s">
        <v>106</v>
      </c>
      <c r="E68" s="134">
        <f>SUM(E69:E73)</f>
        <v>153791602.25999999</v>
      </c>
      <c r="F68" s="134">
        <f>SUM(F69:F73)</f>
        <v>49031132.780000001</v>
      </c>
    </row>
    <row r="69" spans="1:6" x14ac:dyDescent="0.25">
      <c r="A69" s="12"/>
      <c r="B69" s="52"/>
      <c r="C69" s="52"/>
      <c r="D69" s="92" t="s">
        <v>107</v>
      </c>
      <c r="E69" s="135">
        <v>105159365.69</v>
      </c>
      <c r="F69" s="135">
        <v>887994.9</v>
      </c>
    </row>
    <row r="70" spans="1:6" x14ac:dyDescent="0.25">
      <c r="A70" s="12"/>
      <c r="B70" s="52"/>
      <c r="C70" s="52"/>
      <c r="D70" s="92" t="s">
        <v>108</v>
      </c>
      <c r="E70" s="135">
        <v>48632236.57</v>
      </c>
      <c r="F70" s="135">
        <v>48143137.880000003</v>
      </c>
    </row>
    <row r="71" spans="1:6" x14ac:dyDescent="0.25">
      <c r="A71" s="12"/>
      <c r="B71" s="52"/>
      <c r="C71" s="52"/>
      <c r="D71" s="92" t="s">
        <v>109</v>
      </c>
      <c r="E71" s="135">
        <v>0</v>
      </c>
      <c r="F71" s="135">
        <v>0</v>
      </c>
    </row>
    <row r="72" spans="1:6" x14ac:dyDescent="0.25">
      <c r="A72" s="12"/>
      <c r="B72" s="52"/>
      <c r="C72" s="52"/>
      <c r="D72" s="92" t="s">
        <v>110</v>
      </c>
      <c r="E72" s="135">
        <v>0</v>
      </c>
      <c r="F72" s="135">
        <v>0</v>
      </c>
    </row>
    <row r="73" spans="1:6" x14ac:dyDescent="0.25">
      <c r="A73" s="12"/>
      <c r="B73" s="52"/>
      <c r="C73" s="52"/>
      <c r="D73" s="92" t="s">
        <v>111</v>
      </c>
      <c r="E73" s="135">
        <v>0</v>
      </c>
      <c r="F73" s="135">
        <v>0</v>
      </c>
    </row>
    <row r="74" spans="1:6" x14ac:dyDescent="0.25">
      <c r="A74" s="12"/>
      <c r="B74" s="52"/>
      <c r="C74" s="52"/>
      <c r="D74" s="52"/>
      <c r="E74" s="52"/>
      <c r="F74" s="52"/>
    </row>
    <row r="75" spans="1:6" x14ac:dyDescent="0.25">
      <c r="A75" s="12"/>
      <c r="B75" s="52"/>
      <c r="C75" s="52"/>
      <c r="D75" s="91" t="s">
        <v>112</v>
      </c>
      <c r="E75" s="134">
        <f>E76+E77</f>
        <v>0</v>
      </c>
      <c r="F75" s="134">
        <f>F76+F77</f>
        <v>1</v>
      </c>
    </row>
    <row r="76" spans="1:6" x14ac:dyDescent="0.25">
      <c r="A76" s="12"/>
      <c r="B76" s="52"/>
      <c r="C76" s="52"/>
      <c r="D76" s="89" t="s">
        <v>113</v>
      </c>
      <c r="E76" s="135">
        <v>0</v>
      </c>
      <c r="F76" s="135">
        <v>0</v>
      </c>
    </row>
    <row r="77" spans="1:6" x14ac:dyDescent="0.25">
      <c r="A77" s="12"/>
      <c r="B77" s="52"/>
      <c r="C77" s="52"/>
      <c r="D77" s="89" t="s">
        <v>114</v>
      </c>
      <c r="E77" s="135">
        <v>0</v>
      </c>
      <c r="F77" s="135">
        <v>1</v>
      </c>
    </row>
    <row r="78" spans="1:6" x14ac:dyDescent="0.25">
      <c r="A78" s="12"/>
      <c r="B78" s="52"/>
      <c r="C78" s="52"/>
      <c r="D78" s="52"/>
      <c r="E78" s="52"/>
      <c r="F78" s="52"/>
    </row>
    <row r="79" spans="1:6" x14ac:dyDescent="0.25">
      <c r="A79" s="12"/>
      <c r="B79" s="52"/>
      <c r="C79" s="52"/>
      <c r="D79" s="88" t="s">
        <v>115</v>
      </c>
      <c r="E79" s="134">
        <f>E63+E68+E75</f>
        <v>941414261</v>
      </c>
      <c r="F79" s="134">
        <f>F63+F68+F75</f>
        <v>836653792.51999998</v>
      </c>
    </row>
    <row r="80" spans="1:6" x14ac:dyDescent="0.25">
      <c r="A80" s="12"/>
      <c r="B80" s="52"/>
      <c r="C80" s="52"/>
      <c r="D80" s="52"/>
      <c r="E80" s="52"/>
      <c r="F80" s="52"/>
    </row>
    <row r="81" spans="1:6" x14ac:dyDescent="0.25">
      <c r="A81" s="12"/>
      <c r="B81" s="52"/>
      <c r="C81" s="52"/>
      <c r="D81" s="88" t="s">
        <v>116</v>
      </c>
      <c r="E81" s="134">
        <f>E59+E79</f>
        <v>990823283.30999994</v>
      </c>
      <c r="F81" s="134">
        <f>F59+F79</f>
        <v>930721516.55999994</v>
      </c>
    </row>
    <row r="82" spans="1:6" x14ac:dyDescent="0.25">
      <c r="A82" s="6"/>
      <c r="B82" s="63"/>
      <c r="C82" s="63"/>
      <c r="D82" s="63"/>
      <c r="E82" s="63"/>
      <c r="F82" s="63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39370078740157483" right="0.27559055118110237" top="0.23622047244094491" bottom="0.23622047244094491" header="0.15748031496062992" footer="0.15748031496062992"/>
  <pageSetup paperSize="7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70193333.060000002</v>
      </c>
      <c r="Q4" s="18">
        <f>'Formato 1'!C9</f>
        <v>31175535.160000004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51919375.960000001</v>
      </c>
      <c r="Q6" s="18">
        <f>'Formato 1'!C11</f>
        <v>9670699.4199999999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18410977.280000001</v>
      </c>
      <c r="Q8" s="18">
        <f>'Formato 1'!C13</f>
        <v>20675771.780000001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-137020.18</v>
      </c>
      <c r="Q9" s="18">
        <f>'Formato 1'!C14</f>
        <v>829063.96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8436528.4800000004</v>
      </c>
      <c r="Q12" s="18">
        <f>'Formato 1'!C17</f>
        <v>725259.4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2448.08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1239493.79</v>
      </c>
      <c r="Q15" s="18">
        <f>'Formato 1'!C20</f>
        <v>119272.62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396500</v>
      </c>
      <c r="Q17" s="18">
        <f>'Formato 1'!C22</f>
        <v>107877.06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6800534.6900000004</v>
      </c>
      <c r="Q19" s="18">
        <f>'Formato 1'!C24</f>
        <v>495661.64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4428329.0299999993</v>
      </c>
      <c r="Q20" s="18">
        <f>'Formato 1'!C25</f>
        <v>20402984.520000003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1984377.92</v>
      </c>
      <c r="Q21" s="18">
        <f>'Formato 1'!C26</f>
        <v>2102898.5099999998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2443951.11</v>
      </c>
      <c r="Q24" s="18">
        <f>'Formato 1'!C29</f>
        <v>18300086.010000002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771407.83</v>
      </c>
      <c r="Q37" s="18">
        <f>'Formato 1'!C41</f>
        <v>500267.83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771407.83</v>
      </c>
      <c r="Q39" s="18">
        <f>'Formato 1'!C43</f>
        <v>500267.83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83829598.400000006</v>
      </c>
      <c r="Q42" s="18">
        <f>'Formato 1'!C47</f>
        <v>52804046.910000004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828675284.73000002</v>
      </c>
      <c r="Q46">
        <f>'Formato 1'!C52</f>
        <v>800176793.25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108674999.58</v>
      </c>
      <c r="Q47">
        <f>'Formato 1'!C53</f>
        <v>108097274.8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5780110.4199999999</v>
      </c>
      <c r="Q48">
        <f>'Formato 1'!C54</f>
        <v>5780110.4199999999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-37586699.079999998</v>
      </c>
      <c r="Q49">
        <f>'Formato 1'!C55</f>
        <v>-37586699.079999998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1449989.26</v>
      </c>
      <c r="Q50">
        <f>'Formato 1'!C56</f>
        <v>1449989.26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906993684.90999997</v>
      </c>
      <c r="Q53">
        <f>'Formato 1'!C60</f>
        <v>877917468.64999986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990823283.30999994</v>
      </c>
      <c r="Q54">
        <f>'Formato 1'!C62</f>
        <v>930721515.55999982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13739805.309999999</v>
      </c>
      <c r="Q57">
        <f>'Formato 1'!F9</f>
        <v>50679564.039999992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34729.760000000002</v>
      </c>
      <c r="Q58">
        <f>'Formato 1'!F10</f>
        <v>46474.45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6949311.25</v>
      </c>
      <c r="Q59">
        <f>'Formato 1'!F11</f>
        <v>32949000.43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412660.47999999998</v>
      </c>
      <c r="Q60">
        <f>'Formato 1'!F12</f>
        <v>11030513.34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780825.47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800952.94</v>
      </c>
      <c r="Q64">
        <f>'Formato 1'!F16</f>
        <v>438193.94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5487.84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5536663.04</v>
      </c>
      <c r="Q66">
        <f>'Formato 1'!F18</f>
        <v>5434556.4100000001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24608000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24608000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29000000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29000000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453057</v>
      </c>
      <c r="Q91">
        <f>'Formato 1'!F42</f>
        <v>36000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453057</v>
      </c>
      <c r="Q92">
        <f>'Formato 1'!F43</f>
        <v>36000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38800862.310000002</v>
      </c>
      <c r="Q95">
        <f>'Formato 1'!F47</f>
        <v>79715564.039999992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10608160</v>
      </c>
      <c r="Q99">
        <f>'Formato 1'!F52</f>
        <v>14352160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10608160</v>
      </c>
      <c r="Q103">
        <f>'Formato 1'!F57</f>
        <v>14352160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49409022.310000002</v>
      </c>
      <c r="Q104">
        <f>'Formato 1'!F59</f>
        <v>94067724.039999992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787622658.74000001</v>
      </c>
      <c r="Q106">
        <f>'Formato 1'!F63</f>
        <v>787622658.74000001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786004034.75</v>
      </c>
      <c r="Q107">
        <f>'Formato 1'!F64</f>
        <v>786004034.75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1618623.99</v>
      </c>
      <c r="Q108">
        <f>'Formato 1'!F65</f>
        <v>1618623.99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153791602.25999999</v>
      </c>
      <c r="Q110">
        <f>'Formato 1'!F68</f>
        <v>49031132.780000001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105159365.69</v>
      </c>
      <c r="Q111">
        <f>'Formato 1'!F69</f>
        <v>887994.9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48632236.57</v>
      </c>
      <c r="Q112">
        <f>'Formato 1'!F70</f>
        <v>48143137.880000003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1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1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941414261</v>
      </c>
      <c r="Q119">
        <f>'Formato 1'!F79</f>
        <v>836653792.51999998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990823283.30999994</v>
      </c>
      <c r="Q120">
        <f>'Formato 1'!F81</f>
        <v>930721516.55999994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9" customFormat="1" ht="37.5" customHeight="1" x14ac:dyDescent="0.25">
      <c r="A1" s="156" t="s">
        <v>536</v>
      </c>
      <c r="B1" s="156"/>
      <c r="C1" s="156"/>
      <c r="D1" s="156"/>
      <c r="E1" s="156"/>
      <c r="F1" s="156"/>
      <c r="G1" s="156"/>
      <c r="H1" s="156"/>
    </row>
    <row r="2" spans="1:9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3"/>
      <c r="H2" s="144"/>
    </row>
    <row r="3" spans="1:9" x14ac:dyDescent="0.25">
      <c r="A3" s="145" t="s">
        <v>120</v>
      </c>
      <c r="B3" s="146"/>
      <c r="C3" s="146"/>
      <c r="D3" s="146"/>
      <c r="E3" s="146"/>
      <c r="F3" s="146"/>
      <c r="G3" s="146"/>
      <c r="H3" s="147"/>
    </row>
    <row r="4" spans="1:9" ht="14.25" x14ac:dyDescent="0.45">
      <c r="A4" s="148" t="str">
        <f>PERIODO_INFORME</f>
        <v>Al 31 de diciembre de 2019 y al 30 de marzo de 2020 (b)</v>
      </c>
      <c r="B4" s="149"/>
      <c r="C4" s="149"/>
      <c r="D4" s="149"/>
      <c r="E4" s="149"/>
      <c r="F4" s="149"/>
      <c r="G4" s="149"/>
      <c r="H4" s="150"/>
    </row>
    <row r="5" spans="1:9" ht="14.25" x14ac:dyDescent="0.45">
      <c r="A5" s="151" t="s">
        <v>118</v>
      </c>
      <c r="B5" s="152"/>
      <c r="C5" s="152"/>
      <c r="D5" s="152"/>
      <c r="E5" s="152"/>
      <c r="F5" s="152"/>
      <c r="G5" s="152"/>
      <c r="H5" s="153"/>
    </row>
    <row r="6" spans="1:9" ht="45" x14ac:dyDescent="0.25">
      <c r="A6" s="93" t="s">
        <v>121</v>
      </c>
      <c r="B6" s="94" t="str">
        <f>ULTIMO_SALDO</f>
        <v>Saldo al 31 de diciembre de 2019 (d)</v>
      </c>
      <c r="C6" s="93" t="s">
        <v>122</v>
      </c>
      <c r="D6" s="93" t="s">
        <v>123</v>
      </c>
      <c r="E6" s="93" t="s">
        <v>124</v>
      </c>
      <c r="F6" s="93" t="s">
        <v>138</v>
      </c>
      <c r="G6" s="93" t="s">
        <v>125</v>
      </c>
      <c r="H6" s="43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95" t="s">
        <v>127</v>
      </c>
      <c r="B8" s="134">
        <f>B9+B13</f>
        <v>14352160</v>
      </c>
      <c r="C8" s="134">
        <f t="shared" ref="C8:H8" si="0">C9+C13</f>
        <v>0</v>
      </c>
      <c r="D8" s="134">
        <f t="shared" si="0"/>
        <v>936000</v>
      </c>
      <c r="E8" s="134">
        <f t="shared" si="0"/>
        <v>0</v>
      </c>
      <c r="F8" s="134">
        <f t="shared" si="0"/>
        <v>13416160</v>
      </c>
      <c r="G8" s="134">
        <f t="shared" si="0"/>
        <v>344594.07999999996</v>
      </c>
      <c r="H8" s="134">
        <f t="shared" si="0"/>
        <v>0</v>
      </c>
    </row>
    <row r="9" spans="1:9" x14ac:dyDescent="0.25">
      <c r="A9" s="96" t="s">
        <v>128</v>
      </c>
      <c r="B9" s="134">
        <f>SUM(B10:B12)</f>
        <v>0</v>
      </c>
      <c r="C9" s="134">
        <f t="shared" ref="C9:H9" si="1">SUM(C10:C12)</f>
        <v>0</v>
      </c>
      <c r="D9" s="134">
        <f t="shared" si="1"/>
        <v>0</v>
      </c>
      <c r="E9" s="134">
        <f t="shared" si="1"/>
        <v>0</v>
      </c>
      <c r="F9" s="134">
        <f t="shared" si="1"/>
        <v>0</v>
      </c>
      <c r="G9" s="134">
        <f t="shared" si="1"/>
        <v>0</v>
      </c>
      <c r="H9" s="134">
        <f t="shared" si="1"/>
        <v>0</v>
      </c>
    </row>
    <row r="10" spans="1:9" x14ac:dyDescent="0.25">
      <c r="A10" s="97" t="s">
        <v>129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</row>
    <row r="11" spans="1:9" x14ac:dyDescent="0.25">
      <c r="A11" s="97" t="s">
        <v>130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</row>
    <row r="12" spans="1:9" x14ac:dyDescent="0.25">
      <c r="A12" s="97" t="s">
        <v>131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</row>
    <row r="13" spans="1:9" x14ac:dyDescent="0.25">
      <c r="A13" s="96" t="s">
        <v>132</v>
      </c>
      <c r="B13" s="134">
        <f>SUM(B14:B16)</f>
        <v>14352160</v>
      </c>
      <c r="C13" s="134">
        <f t="shared" ref="C13:H13" si="2">SUM(C14:C16)</f>
        <v>0</v>
      </c>
      <c r="D13" s="134">
        <f t="shared" si="2"/>
        <v>936000</v>
      </c>
      <c r="E13" s="134">
        <f t="shared" si="2"/>
        <v>0</v>
      </c>
      <c r="F13" s="134">
        <f t="shared" si="2"/>
        <v>13416160</v>
      </c>
      <c r="G13" s="134">
        <f t="shared" si="2"/>
        <v>344594.07999999996</v>
      </c>
      <c r="H13" s="134">
        <f t="shared" si="2"/>
        <v>0</v>
      </c>
    </row>
    <row r="14" spans="1:9" x14ac:dyDescent="0.25">
      <c r="A14" s="97" t="s">
        <v>133</v>
      </c>
      <c r="B14" s="135">
        <v>14352160</v>
      </c>
      <c r="C14" s="135">
        <v>0</v>
      </c>
      <c r="D14" s="135">
        <v>936000</v>
      </c>
      <c r="E14" s="135">
        <v>0</v>
      </c>
      <c r="F14" s="135">
        <f>+B14+C14-D14+E14</f>
        <v>13416160</v>
      </c>
      <c r="G14" s="135">
        <v>344594.07999999996</v>
      </c>
      <c r="H14" s="135">
        <v>0</v>
      </c>
    </row>
    <row r="15" spans="1:9" x14ac:dyDescent="0.25">
      <c r="A15" s="97" t="s">
        <v>134</v>
      </c>
      <c r="B15" s="135">
        <v>0</v>
      </c>
      <c r="C15" s="135">
        <v>0</v>
      </c>
      <c r="D15" s="135">
        <v>0</v>
      </c>
      <c r="E15" s="135">
        <v>0</v>
      </c>
      <c r="F15" s="135">
        <f>+B15+C15-D15+E15</f>
        <v>0</v>
      </c>
      <c r="G15" s="135">
        <v>0</v>
      </c>
      <c r="H15" s="135">
        <v>0</v>
      </c>
    </row>
    <row r="16" spans="1:9" x14ac:dyDescent="0.25">
      <c r="A16" s="97" t="s">
        <v>135</v>
      </c>
      <c r="B16" s="135">
        <v>0</v>
      </c>
      <c r="C16" s="135">
        <v>0</v>
      </c>
      <c r="D16" s="135">
        <v>0</v>
      </c>
      <c r="E16" s="135">
        <v>0</v>
      </c>
      <c r="F16" s="135">
        <f>+B16+C16-D16+E16</f>
        <v>0</v>
      </c>
      <c r="G16" s="135">
        <v>0</v>
      </c>
      <c r="H16" s="135">
        <v>0</v>
      </c>
    </row>
    <row r="17" spans="1:8" ht="14.25" x14ac:dyDescent="0.45">
      <c r="A17" s="52"/>
      <c r="B17" s="12"/>
      <c r="C17" s="12"/>
      <c r="D17" s="12"/>
      <c r="E17" s="12"/>
      <c r="F17" s="12"/>
      <c r="G17" s="12"/>
      <c r="H17" s="12"/>
    </row>
    <row r="18" spans="1:8" x14ac:dyDescent="0.25">
      <c r="A18" s="95" t="s">
        <v>136</v>
      </c>
      <c r="B18" s="134">
        <v>79715564.040000007</v>
      </c>
      <c r="C18" s="118"/>
      <c r="D18" s="118"/>
      <c r="E18" s="118"/>
      <c r="F18" s="134">
        <f>38800862.31-13416160</f>
        <v>25384702.310000002</v>
      </c>
      <c r="G18" s="118"/>
      <c r="H18" s="118"/>
    </row>
    <row r="19" spans="1:8" ht="14.25" x14ac:dyDescent="0.45">
      <c r="A19" s="76"/>
      <c r="B19" s="5"/>
      <c r="C19" s="5"/>
      <c r="D19" s="5"/>
      <c r="E19" s="5"/>
      <c r="F19" s="5"/>
      <c r="G19" s="5"/>
      <c r="H19" s="5"/>
    </row>
    <row r="20" spans="1:8" x14ac:dyDescent="0.25">
      <c r="A20" s="95" t="s">
        <v>137</v>
      </c>
      <c r="B20" s="134">
        <f>B8+B18</f>
        <v>94067724.040000007</v>
      </c>
      <c r="C20" s="134">
        <f t="shared" ref="C20:H20" si="3">C8+C18</f>
        <v>0</v>
      </c>
      <c r="D20" s="134">
        <f t="shared" si="3"/>
        <v>936000</v>
      </c>
      <c r="E20" s="134">
        <f t="shared" si="3"/>
        <v>0</v>
      </c>
      <c r="F20" s="134">
        <f t="shared" si="3"/>
        <v>38800862.310000002</v>
      </c>
      <c r="G20" s="134">
        <f t="shared" si="3"/>
        <v>344594.07999999996</v>
      </c>
      <c r="H20" s="134">
        <f t="shared" si="3"/>
        <v>0</v>
      </c>
    </row>
    <row r="21" spans="1:8" ht="14.25" x14ac:dyDescent="0.45">
      <c r="A21" s="52"/>
      <c r="B21" s="52"/>
      <c r="C21" s="52"/>
      <c r="D21" s="52"/>
      <c r="E21" s="52"/>
      <c r="F21" s="52"/>
      <c r="G21" s="52"/>
      <c r="H21" s="52"/>
    </row>
    <row r="22" spans="1:8" ht="17.25" x14ac:dyDescent="0.25">
      <c r="A22" s="95" t="s">
        <v>3288</v>
      </c>
      <c r="B22" s="134">
        <f>SUM(B23:DEUDA_CONT_FIN_01)</f>
        <v>0</v>
      </c>
      <c r="C22" s="134">
        <f>SUM(C23:DEUDA_CONT_FIN_02)</f>
        <v>0</v>
      </c>
      <c r="D22" s="134">
        <f>SUM(D23:DEUDA_CONT_FIN_03)</f>
        <v>0</v>
      </c>
      <c r="E22" s="134">
        <f>SUM(E23:DEUDA_CONT_FIN_04)</f>
        <v>0</v>
      </c>
      <c r="F22" s="134">
        <f>SUM(F23:DEUDA_CONT_FIN_05)</f>
        <v>0</v>
      </c>
      <c r="G22" s="134">
        <f>SUM(G23:DEUDA_CONT_FIN_06)</f>
        <v>0</v>
      </c>
      <c r="H22" s="134">
        <f>SUM(H23:DEUDA_CONT_FIN_07)</f>
        <v>0</v>
      </c>
    </row>
    <row r="23" spans="1:8" s="23" customFormat="1" x14ac:dyDescent="0.25">
      <c r="A23" s="98" t="s">
        <v>434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</row>
    <row r="24" spans="1:8" s="23" customFormat="1" x14ac:dyDescent="0.25">
      <c r="A24" s="98" t="s">
        <v>435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</row>
    <row r="25" spans="1:8" s="23" customFormat="1" x14ac:dyDescent="0.25">
      <c r="A25" s="98" t="s">
        <v>436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</row>
    <row r="26" spans="1:8" ht="14.25" x14ac:dyDescent="0.45">
      <c r="A26" s="68" t="s">
        <v>678</v>
      </c>
      <c r="B26" s="52"/>
      <c r="C26" s="52"/>
      <c r="D26" s="52"/>
      <c r="E26" s="52"/>
      <c r="F26" s="52"/>
      <c r="G26" s="52"/>
      <c r="H26" s="52"/>
    </row>
    <row r="27" spans="1:8" ht="17.25" x14ac:dyDescent="0.25">
      <c r="A27" s="95" t="s">
        <v>3289</v>
      </c>
      <c r="B27" s="134">
        <f>SUM(B28:VALOR_INS_BCC_FIN_01)</f>
        <v>0</v>
      </c>
      <c r="C27" s="134">
        <f>SUM(C28:VALOR_INS_BCC_FIN_02)</f>
        <v>0</v>
      </c>
      <c r="D27" s="134">
        <f>SUM(D28:VALOR_INS_BCC_FIN_03)</f>
        <v>0</v>
      </c>
      <c r="E27" s="134">
        <f>SUM(E28:VALOR_INS_BCC_FIN_04)</f>
        <v>0</v>
      </c>
      <c r="F27" s="134">
        <f>SUM(F28:VALOR_INS_BCC_FIN_05)</f>
        <v>0</v>
      </c>
      <c r="G27" s="134">
        <f>SUM(G28:VALOR_INS_BCC_FIN_06)</f>
        <v>0</v>
      </c>
      <c r="H27" s="134">
        <f>SUM(H28:VALOR_INS_BCC_FIN_07)</f>
        <v>0</v>
      </c>
    </row>
    <row r="28" spans="1:8" s="23" customFormat="1" x14ac:dyDescent="0.25">
      <c r="A28" s="98" t="s">
        <v>437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</row>
    <row r="29" spans="1:8" s="23" customFormat="1" x14ac:dyDescent="0.25">
      <c r="A29" s="98" t="s">
        <v>438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</row>
    <row r="30" spans="1:8" s="23" customFormat="1" x14ac:dyDescent="0.25">
      <c r="A30" s="98" t="s">
        <v>439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</row>
    <row r="31" spans="1:8" ht="14.25" x14ac:dyDescent="0.45">
      <c r="A31" s="99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79"/>
    </row>
    <row r="33" spans="1:8" ht="12" customHeight="1" x14ac:dyDescent="0.25">
      <c r="A33" s="155" t="s">
        <v>3292</v>
      </c>
      <c r="B33" s="155"/>
      <c r="C33" s="155"/>
      <c r="D33" s="155"/>
      <c r="E33" s="155"/>
      <c r="F33" s="155"/>
      <c r="G33" s="155"/>
      <c r="H33" s="155"/>
    </row>
    <row r="34" spans="1:8" ht="12" customHeight="1" x14ac:dyDescent="0.25">
      <c r="A34" s="155"/>
      <c r="B34" s="155"/>
      <c r="C34" s="155"/>
      <c r="D34" s="155"/>
      <c r="E34" s="155"/>
      <c r="F34" s="155"/>
      <c r="G34" s="155"/>
      <c r="H34" s="155"/>
    </row>
    <row r="35" spans="1:8" ht="12" customHeight="1" x14ac:dyDescent="0.25">
      <c r="A35" s="155"/>
      <c r="B35" s="155"/>
      <c r="C35" s="155"/>
      <c r="D35" s="155"/>
      <c r="E35" s="155"/>
      <c r="F35" s="155"/>
      <c r="G35" s="155"/>
      <c r="H35" s="155"/>
    </row>
    <row r="36" spans="1:8" ht="12" customHeight="1" x14ac:dyDescent="0.25">
      <c r="A36" s="155"/>
      <c r="B36" s="155"/>
      <c r="C36" s="155"/>
      <c r="D36" s="155"/>
      <c r="E36" s="155"/>
      <c r="F36" s="155"/>
      <c r="G36" s="155"/>
      <c r="H36" s="155"/>
    </row>
    <row r="37" spans="1:8" ht="12" customHeight="1" x14ac:dyDescent="0.25">
      <c r="A37" s="155"/>
      <c r="B37" s="155"/>
      <c r="C37" s="155"/>
      <c r="D37" s="155"/>
      <c r="E37" s="155"/>
      <c r="F37" s="155"/>
      <c r="G37" s="155"/>
      <c r="H37" s="155"/>
    </row>
    <row r="38" spans="1:8" ht="14.25" x14ac:dyDescent="0.45">
      <c r="A38" s="79"/>
    </row>
    <row r="39" spans="1:8" ht="30" x14ac:dyDescent="0.25">
      <c r="A39" s="93" t="s">
        <v>139</v>
      </c>
      <c r="B39" s="93" t="s">
        <v>142</v>
      </c>
      <c r="C39" s="93" t="s">
        <v>143</v>
      </c>
      <c r="D39" s="93" t="s">
        <v>144</v>
      </c>
      <c r="E39" s="93" t="s">
        <v>140</v>
      </c>
      <c r="F39" s="43" t="s">
        <v>145</v>
      </c>
    </row>
    <row r="40" spans="1:8" x14ac:dyDescent="0.25">
      <c r="A40" s="76"/>
      <c r="B40" s="5"/>
      <c r="C40" s="5"/>
      <c r="D40" s="5"/>
      <c r="E40" s="5"/>
      <c r="F40" s="5"/>
    </row>
    <row r="41" spans="1:8" x14ac:dyDescent="0.25">
      <c r="A41" s="95" t="s">
        <v>141</v>
      </c>
      <c r="B41" s="134">
        <f>SUM(B42:OB_CORTO_PLAZO_FIN_01)</f>
        <v>52000000</v>
      </c>
      <c r="C41" s="59">
        <f>SUM(C42:OB_CORTO_PLAZO_FIN_02)</f>
        <v>162</v>
      </c>
      <c r="D41" s="59">
        <f>SUM(D42:OB_CORTO_PLAZO_FIN_03)</f>
        <v>2.25</v>
      </c>
      <c r="E41" s="59">
        <f>SUM(E42:OB_CORTO_PLAZO_FIN_04)</f>
        <v>0</v>
      </c>
      <c r="F41" s="58">
        <f>SUM(F42:OB_CORTO_PLAZO_FIN_05)</f>
        <v>2.25</v>
      </c>
    </row>
    <row r="42" spans="1:8" s="23" customFormat="1" x14ac:dyDescent="0.25">
      <c r="A42" s="98" t="s">
        <v>440</v>
      </c>
      <c r="B42" s="135">
        <v>52000000</v>
      </c>
      <c r="C42" s="58">
        <v>162</v>
      </c>
      <c r="D42" s="58">
        <v>2.25</v>
      </c>
      <c r="E42" s="58">
        <v>0</v>
      </c>
      <c r="F42" s="58">
        <v>2.25</v>
      </c>
    </row>
    <row r="43" spans="1:8" s="23" customFormat="1" x14ac:dyDescent="0.25">
      <c r="A43" s="98" t="s">
        <v>441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</row>
    <row r="44" spans="1:8" s="23" customFormat="1" x14ac:dyDescent="0.25">
      <c r="A44" s="98" t="s">
        <v>442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19685039370078741" right="0.15748031496062992" top="0.74803149606299213" bottom="0.74803149606299213" header="0.31496062992125984" footer="0.31496062992125984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14352160</v>
      </c>
      <c r="Q3" s="18">
        <f>'Formato 2'!C8</f>
        <v>0</v>
      </c>
      <c r="R3" s="18">
        <f>'Formato 2'!D8</f>
        <v>936000</v>
      </c>
      <c r="S3" s="18">
        <f>'Formato 2'!E8</f>
        <v>0</v>
      </c>
      <c r="T3" s="18">
        <f>'Formato 2'!F8</f>
        <v>13416160</v>
      </c>
      <c r="U3" s="18">
        <f>'Formato 2'!G8</f>
        <v>344594.07999999996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14352160</v>
      </c>
      <c r="Q8" s="18">
        <f>'Formato 2'!C13</f>
        <v>0</v>
      </c>
      <c r="R8" s="18">
        <f>'Formato 2'!D13</f>
        <v>936000</v>
      </c>
      <c r="S8" s="18">
        <f>'Formato 2'!E13</f>
        <v>0</v>
      </c>
      <c r="T8" s="18">
        <f>'Formato 2'!F13</f>
        <v>13416160</v>
      </c>
      <c r="U8" s="18">
        <f>'Formato 2'!G13</f>
        <v>344594.07999999996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14352160</v>
      </c>
      <c r="Q9" s="18">
        <f>'Formato 2'!C14</f>
        <v>0</v>
      </c>
      <c r="R9" s="18">
        <f>'Formato 2'!D14</f>
        <v>936000</v>
      </c>
      <c r="S9" s="18">
        <f>'Formato 2'!E14</f>
        <v>0</v>
      </c>
      <c r="T9" s="18">
        <f>'Formato 2'!F14</f>
        <v>13416160</v>
      </c>
      <c r="U9" s="18">
        <f>'Formato 2'!G14</f>
        <v>344594.07999999996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79715564.040000007</v>
      </c>
      <c r="Q12" s="18"/>
      <c r="R12" s="18"/>
      <c r="S12" s="18"/>
      <c r="T12" s="18">
        <f>'Formato 2'!F18</f>
        <v>25384702.310000002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94067724.040000007</v>
      </c>
      <c r="Q13" s="18">
        <f>'Formato 2'!C20</f>
        <v>0</v>
      </c>
      <c r="R13" s="18">
        <f>'Formato 2'!D20</f>
        <v>936000</v>
      </c>
      <c r="S13" s="18">
        <f>'Formato 2'!E20</f>
        <v>0</v>
      </c>
      <c r="T13" s="18">
        <f>'Formato 2'!F20</f>
        <v>38800862.310000002</v>
      </c>
      <c r="U13" s="18">
        <f>'Formato 2'!G20</f>
        <v>344594.07999999996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52000000</v>
      </c>
      <c r="Q17">
        <f>OB_CORTO_PLAZO_T2</f>
        <v>162</v>
      </c>
      <c r="R17">
        <f>OB_CORTO_PLAZO_T3</f>
        <v>2.25</v>
      </c>
      <c r="S17">
        <f>OB_CORTO_PLAZO_T4</f>
        <v>0</v>
      </c>
      <c r="T17">
        <f>OB_CORTO_PLAZO_T5</f>
        <v>2.25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D18" sqref="D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0" customFormat="1" ht="37.5" customHeight="1" x14ac:dyDescent="0.25">
      <c r="A1" s="154" t="s">
        <v>535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0"/>
    </row>
    <row r="2" spans="1:12" ht="14.25" x14ac:dyDescent="0.45">
      <c r="A2" s="142" t="str">
        <f>ENTE_PUBLICO_A</f>
        <v>MUNICIPIO DE SILAO DE LA VICTORIA, Gobierno del Estado de Guanajuato (a)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2" x14ac:dyDescent="0.25">
      <c r="A3" s="145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2" ht="14.25" x14ac:dyDescent="0.45">
      <c r="A4" s="148" t="str">
        <f>TRIMESTRE</f>
        <v>Del 1 de enero al 30 de marzo de 2020 (b)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2" ht="14.25" x14ac:dyDescent="0.45">
      <c r="A5" s="145" t="s">
        <v>118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2" ht="75" x14ac:dyDescent="0.2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7" t="str">
        <f>MONTO1</f>
        <v>Monto pagado de la inversión al 30 de marzo de 2020 (k)</v>
      </c>
      <c r="J6" s="117" t="str">
        <f>MONTO2</f>
        <v>Monto pagado de la inversión actualizado al 30 de marzo de 2020 (l)</v>
      </c>
      <c r="K6" s="117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7" t="s">
        <v>155</v>
      </c>
      <c r="B8" s="115"/>
      <c r="C8" s="115"/>
      <c r="D8" s="115"/>
      <c r="E8" s="59">
        <f>SUM(E9:APP_FIN_04)</f>
        <v>4</v>
      </c>
      <c r="F8" s="115"/>
      <c r="G8" s="59">
        <f>SUM(G9:APP_FIN_06)</f>
        <v>4</v>
      </c>
      <c r="H8" s="59">
        <f>SUM(H9:APP_FIN_07)</f>
        <v>4</v>
      </c>
      <c r="I8" s="59">
        <f>SUM(I9:APP_FIN_08)</f>
        <v>4</v>
      </c>
      <c r="J8" s="59">
        <f>SUM(J9:APP_FIN_09)</f>
        <v>4</v>
      </c>
      <c r="K8" s="59">
        <f>SUM(K9:APP_FIN_10)</f>
        <v>0</v>
      </c>
    </row>
    <row r="9" spans="1:12" s="23" customFormat="1" ht="14.25" x14ac:dyDescent="0.45">
      <c r="A9" s="103" t="s">
        <v>156</v>
      </c>
      <c r="B9" s="101"/>
      <c r="C9" s="101"/>
      <c r="D9" s="101"/>
      <c r="E9" s="58">
        <v>1</v>
      </c>
      <c r="F9" s="58">
        <v>80</v>
      </c>
      <c r="G9" s="58">
        <v>1</v>
      </c>
      <c r="H9" s="58">
        <v>1</v>
      </c>
      <c r="I9" s="58">
        <v>1</v>
      </c>
      <c r="J9" s="58">
        <v>1</v>
      </c>
      <c r="K9" s="58">
        <f>E9-J9</f>
        <v>0</v>
      </c>
    </row>
    <row r="10" spans="1:12" s="23" customFormat="1" ht="14.25" x14ac:dyDescent="0.45">
      <c r="A10" s="103" t="s">
        <v>157</v>
      </c>
      <c r="B10" s="101"/>
      <c r="C10" s="101"/>
      <c r="D10" s="101"/>
      <c r="E10" s="58">
        <v>1</v>
      </c>
      <c r="F10" s="58">
        <v>70</v>
      </c>
      <c r="G10" s="58">
        <v>1</v>
      </c>
      <c r="H10" s="58">
        <v>1</v>
      </c>
      <c r="I10" s="58">
        <v>1</v>
      </c>
      <c r="J10" s="58">
        <v>1</v>
      </c>
      <c r="K10" s="58">
        <f t="shared" ref="K10:K12" si="0">E10-J10</f>
        <v>0</v>
      </c>
    </row>
    <row r="11" spans="1:12" s="23" customFormat="1" ht="14.25" x14ac:dyDescent="0.45">
      <c r="A11" s="103" t="s">
        <v>158</v>
      </c>
      <c r="B11" s="101"/>
      <c r="C11" s="101"/>
      <c r="D11" s="101"/>
      <c r="E11" s="58">
        <v>1</v>
      </c>
      <c r="F11" s="58">
        <v>60</v>
      </c>
      <c r="G11" s="58">
        <v>1</v>
      </c>
      <c r="H11" s="58">
        <v>1</v>
      </c>
      <c r="I11" s="58">
        <v>1</v>
      </c>
      <c r="J11" s="58">
        <v>1</v>
      </c>
      <c r="K11" s="58">
        <f t="shared" si="0"/>
        <v>0</v>
      </c>
    </row>
    <row r="12" spans="1:12" s="23" customFormat="1" ht="14.25" x14ac:dyDescent="0.45">
      <c r="A12" s="103" t="s">
        <v>159</v>
      </c>
      <c r="B12" s="101"/>
      <c r="C12" s="101"/>
      <c r="D12" s="101"/>
      <c r="E12" s="58">
        <v>1</v>
      </c>
      <c r="F12" s="58">
        <v>50</v>
      </c>
      <c r="G12" s="58">
        <v>1</v>
      </c>
      <c r="H12" s="58">
        <v>1</v>
      </c>
      <c r="I12" s="58">
        <v>1</v>
      </c>
      <c r="J12" s="58">
        <v>1</v>
      </c>
      <c r="K12" s="58">
        <f t="shared" si="0"/>
        <v>0</v>
      </c>
    </row>
    <row r="13" spans="1:12" ht="14.25" x14ac:dyDescent="0.45">
      <c r="A13" s="104" t="s">
        <v>678</v>
      </c>
      <c r="B13" s="102"/>
      <c r="C13" s="102"/>
      <c r="D13" s="102"/>
      <c r="E13" s="52"/>
      <c r="F13" s="52"/>
      <c r="G13" s="52"/>
      <c r="H13" s="52"/>
      <c r="I13" s="52"/>
      <c r="J13" s="52"/>
      <c r="K13" s="52"/>
    </row>
    <row r="14" spans="1:12" ht="14.25" x14ac:dyDescent="0.45">
      <c r="A14" s="37" t="s">
        <v>160</v>
      </c>
      <c r="B14" s="115"/>
      <c r="C14" s="115"/>
      <c r="D14" s="115"/>
      <c r="E14" s="59">
        <f>SUM(E15:OTROS_FIN_04)</f>
        <v>4</v>
      </c>
      <c r="F14" s="115"/>
      <c r="G14" s="59">
        <f>SUM(G15:OTROS_FIN_06)</f>
        <v>4</v>
      </c>
      <c r="H14" s="59">
        <f>SUM(H15:OTROS_FIN_07)</f>
        <v>4</v>
      </c>
      <c r="I14" s="59">
        <f>SUM(I15:OTROS_FIN_08)</f>
        <v>4</v>
      </c>
      <c r="J14" s="59">
        <f>SUM(J15:OTROS_FIN_09)</f>
        <v>4</v>
      </c>
      <c r="K14" s="59">
        <f>SUM(K15:OTROS_FIN_10)</f>
        <v>0</v>
      </c>
    </row>
    <row r="15" spans="1:12" s="23" customFormat="1" ht="14.25" x14ac:dyDescent="0.45">
      <c r="A15" s="103" t="s">
        <v>161</v>
      </c>
      <c r="B15" s="101"/>
      <c r="C15" s="101"/>
      <c r="D15" s="101"/>
      <c r="E15" s="58">
        <v>1</v>
      </c>
      <c r="F15" s="58">
        <v>40</v>
      </c>
      <c r="G15" s="58">
        <v>1</v>
      </c>
      <c r="H15" s="58">
        <v>1</v>
      </c>
      <c r="I15" s="58">
        <v>1</v>
      </c>
      <c r="J15" s="58">
        <v>1</v>
      </c>
      <c r="K15" s="58">
        <f>E15-J15</f>
        <v>0</v>
      </c>
    </row>
    <row r="16" spans="1:12" s="23" customFormat="1" ht="14.25" x14ac:dyDescent="0.45">
      <c r="A16" s="103" t="s">
        <v>162</v>
      </c>
      <c r="B16" s="101"/>
      <c r="C16" s="101"/>
      <c r="D16" s="101"/>
      <c r="E16" s="58">
        <v>1</v>
      </c>
      <c r="F16" s="58">
        <v>30</v>
      </c>
      <c r="G16" s="58">
        <v>1</v>
      </c>
      <c r="H16" s="58">
        <v>1</v>
      </c>
      <c r="I16" s="58">
        <v>1</v>
      </c>
      <c r="J16" s="58">
        <v>1</v>
      </c>
      <c r="K16" s="58">
        <f t="shared" ref="K16:K18" si="1">E16-J16</f>
        <v>0</v>
      </c>
    </row>
    <row r="17" spans="1:11" s="23" customFormat="1" ht="14.25" x14ac:dyDescent="0.45">
      <c r="A17" s="103" t="s">
        <v>163</v>
      </c>
      <c r="B17" s="101"/>
      <c r="C17" s="101"/>
      <c r="D17" s="101"/>
      <c r="E17" s="58">
        <v>1</v>
      </c>
      <c r="F17" s="58">
        <v>20</v>
      </c>
      <c r="G17" s="58">
        <v>1</v>
      </c>
      <c r="H17" s="58">
        <v>1</v>
      </c>
      <c r="I17" s="58">
        <v>1</v>
      </c>
      <c r="J17" s="58">
        <v>1</v>
      </c>
      <c r="K17" s="58">
        <f t="shared" si="1"/>
        <v>0</v>
      </c>
    </row>
    <row r="18" spans="1:11" s="23" customFormat="1" ht="14.25" x14ac:dyDescent="0.45">
      <c r="A18" s="103" t="s">
        <v>164</v>
      </c>
      <c r="B18" s="101"/>
      <c r="C18" s="101"/>
      <c r="D18" s="101"/>
      <c r="E18" s="58">
        <v>1</v>
      </c>
      <c r="F18" s="58">
        <v>10</v>
      </c>
      <c r="G18" s="58">
        <v>1</v>
      </c>
      <c r="H18" s="58">
        <v>1</v>
      </c>
      <c r="I18" s="58">
        <v>1</v>
      </c>
      <c r="J18" s="58">
        <v>1</v>
      </c>
      <c r="K18" s="58">
        <f t="shared" si="1"/>
        <v>0</v>
      </c>
    </row>
    <row r="19" spans="1:11" ht="14.25" x14ac:dyDescent="0.45">
      <c r="A19" s="104" t="s">
        <v>678</v>
      </c>
      <c r="B19" s="102"/>
      <c r="C19" s="102"/>
      <c r="D19" s="102"/>
      <c r="E19" s="52"/>
      <c r="F19" s="52"/>
      <c r="G19" s="52"/>
      <c r="H19" s="52"/>
      <c r="I19" s="52"/>
      <c r="J19" s="52"/>
      <c r="K19" s="52"/>
    </row>
    <row r="20" spans="1:11" ht="14.25" x14ac:dyDescent="0.45">
      <c r="A20" s="37" t="s">
        <v>165</v>
      </c>
      <c r="B20" s="115"/>
      <c r="C20" s="115"/>
      <c r="D20" s="115"/>
      <c r="E20" s="59">
        <f>APP_T4+OTROS_T4</f>
        <v>8</v>
      </c>
      <c r="F20" s="115"/>
      <c r="G20" s="59">
        <f>APP_T6+OTROS_T6</f>
        <v>8</v>
      </c>
      <c r="H20" s="59">
        <f>APP_T7+OTROS_T7</f>
        <v>8</v>
      </c>
      <c r="I20" s="59">
        <f>APP_T8+OTROS_T8</f>
        <v>8</v>
      </c>
      <c r="J20" s="59">
        <f>APP_T9+OTROS_T9</f>
        <v>8</v>
      </c>
      <c r="K20" s="59">
        <f>APP_T10+OTROS_T10</f>
        <v>0</v>
      </c>
    </row>
    <row r="21" spans="1:11" ht="14.25" x14ac:dyDescent="0.45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15748031496062992" right="0.1574803149606299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GABRIEL</cp:lastModifiedBy>
  <cp:lastPrinted>2020-05-04T19:05:54Z</cp:lastPrinted>
  <dcterms:created xsi:type="dcterms:W3CDTF">2017-01-19T17:59:06Z</dcterms:created>
  <dcterms:modified xsi:type="dcterms:W3CDTF">2020-05-04T19:08:08Z</dcterms:modified>
</cp:coreProperties>
</file>